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n/Documents/Documents - Don Knapp’s MacBook Pro/Budget/2024-2025/"/>
    </mc:Choice>
  </mc:AlternateContent>
  <xr:revisionPtr revIDLastSave="0" documentId="8_{348AEEDC-2B99-5049-B163-560BA8622C18}" xr6:coauthVersionLast="47" xr6:coauthVersionMax="47" xr10:uidLastSave="{00000000-0000-0000-0000-000000000000}"/>
  <bookViews>
    <workbookView xWindow="0" yWindow="760" windowWidth="34560" windowHeight="19780" tabRatio="859" xr2:uid="{00000000-000D-0000-FFFF-FFFF00000000}"/>
  </bookViews>
  <sheets>
    <sheet name="FY25 PPSEL Revised" sheetId="6" r:id="rId1"/>
    <sheet name="FY25 PPSEL Revised summary" sheetId="9" r:id="rId2"/>
    <sheet name="Uniform Budget Summary" sheetId="5" r:id="rId3"/>
    <sheet name="FY25 PPSEL Salary &amp; Benefits" sheetId="2" r:id="rId4"/>
    <sheet name="Budget Appropriation Resolution" sheetId="4" r:id="rId5"/>
  </sheets>
  <definedNames>
    <definedName name="_xlnm.Print_Area" localSheetId="0">'FY25 PPSEL Revised'!$A$1:$D$207</definedName>
    <definedName name="_xlnm.Print_Area" localSheetId="1">'FY25 PPSEL Revised summary'!$A$1:$D$207</definedName>
    <definedName name="_xlnm.Print_Area" localSheetId="2">'Uniform Budget Summary'!$A$1:$AD$200</definedName>
    <definedName name="_xlnm.Print_Titles" localSheetId="2">'Uniform Budget Summary'!$1:$2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3" i="9" l="1"/>
  <c r="B223" i="9"/>
  <c r="G221" i="9"/>
  <c r="F221" i="9"/>
  <c r="D221" i="9"/>
  <c r="C221" i="9"/>
  <c r="B221" i="9"/>
  <c r="G220" i="9"/>
  <c r="G219" i="9"/>
  <c r="B212" i="9"/>
  <c r="C211" i="9"/>
  <c r="C212" i="9" s="1"/>
  <c r="B211" i="9"/>
  <c r="F204" i="9"/>
  <c r="D204" i="9"/>
  <c r="E204" i="9" s="1"/>
  <c r="C204" i="9"/>
  <c r="B204" i="9"/>
  <c r="G203" i="9"/>
  <c r="G204" i="9" s="1"/>
  <c r="E202" i="9"/>
  <c r="G199" i="9"/>
  <c r="F199" i="9"/>
  <c r="D199" i="9"/>
  <c r="C199" i="9"/>
  <c r="B199" i="9"/>
  <c r="B198" i="9"/>
  <c r="G191" i="9"/>
  <c r="F191" i="9"/>
  <c r="D191" i="9"/>
  <c r="E191" i="9" s="1"/>
  <c r="C191" i="9"/>
  <c r="C190" i="9"/>
  <c r="B181" i="9"/>
  <c r="B191" i="9" s="1"/>
  <c r="F168" i="9"/>
  <c r="D168" i="9"/>
  <c r="C168" i="9"/>
  <c r="B168" i="9"/>
  <c r="G167" i="9"/>
  <c r="G168" i="9" s="1"/>
  <c r="F152" i="9"/>
  <c r="D152" i="9"/>
  <c r="E152" i="9" s="1"/>
  <c r="C152" i="9"/>
  <c r="B152" i="9"/>
  <c r="B151" i="9"/>
  <c r="G150" i="9"/>
  <c r="G152" i="9" s="1"/>
  <c r="B149" i="9"/>
  <c r="F144" i="9"/>
  <c r="C144" i="9"/>
  <c r="G143" i="9"/>
  <c r="D140" i="9"/>
  <c r="D144" i="9" s="1"/>
  <c r="B139" i="9"/>
  <c r="G134" i="9"/>
  <c r="G133" i="9"/>
  <c r="G131" i="9"/>
  <c r="G130" i="9"/>
  <c r="G127" i="9"/>
  <c r="G126" i="9"/>
  <c r="B126" i="9"/>
  <c r="B144" i="9" s="1"/>
  <c r="G125" i="9"/>
  <c r="G144" i="9" s="1"/>
  <c r="F124" i="9"/>
  <c r="D124" i="9"/>
  <c r="E124" i="9" s="1"/>
  <c r="C124" i="9"/>
  <c r="G123" i="9"/>
  <c r="G122" i="9"/>
  <c r="G120" i="9"/>
  <c r="G119" i="9"/>
  <c r="G118" i="9"/>
  <c r="G114" i="9" s="1"/>
  <c r="G115" i="9"/>
  <c r="G113" i="9"/>
  <c r="G112" i="9"/>
  <c r="B112" i="9"/>
  <c r="B124" i="9" s="1"/>
  <c r="I110" i="9"/>
  <c r="G110" i="9"/>
  <c r="G109" i="9"/>
  <c r="G106" i="9"/>
  <c r="G105" i="9"/>
  <c r="G104" i="9"/>
  <c r="G103" i="9"/>
  <c r="G102" i="9"/>
  <c r="G101" i="9"/>
  <c r="G100" i="9"/>
  <c r="G99" i="9"/>
  <c r="G98" i="9"/>
  <c r="G95" i="9"/>
  <c r="G93" i="9"/>
  <c r="G92" i="9"/>
  <c r="G88" i="9"/>
  <c r="G86" i="9"/>
  <c r="G85" i="9"/>
  <c r="G84" i="9"/>
  <c r="G83" i="9"/>
  <c r="G82" i="9"/>
  <c r="G74" i="9"/>
  <c r="G73" i="9"/>
  <c r="G72" i="9"/>
  <c r="G71" i="9"/>
  <c r="G70" i="9"/>
  <c r="G69" i="9"/>
  <c r="G68" i="9"/>
  <c r="G67" i="9"/>
  <c r="G66" i="9"/>
  <c r="G65" i="9"/>
  <c r="G64" i="9"/>
  <c r="F62" i="9"/>
  <c r="K62" i="9" s="1"/>
  <c r="D62" i="9"/>
  <c r="E62" i="9" s="1"/>
  <c r="C62" i="9"/>
  <c r="B62" i="9"/>
  <c r="G61" i="9"/>
  <c r="G87" i="9" s="1"/>
  <c r="G60" i="9"/>
  <c r="G59" i="9"/>
  <c r="G58" i="9"/>
  <c r="G97" i="9" s="1"/>
  <c r="G57" i="9"/>
  <c r="G96" i="9" s="1"/>
  <c r="G56" i="9"/>
  <c r="G55" i="9"/>
  <c r="G81" i="9" s="1"/>
  <c r="G54" i="9"/>
  <c r="G80" i="9" s="1"/>
  <c r="G53" i="9"/>
  <c r="G52" i="9"/>
  <c r="G78" i="9" s="1"/>
  <c r="G51" i="9"/>
  <c r="G48" i="9"/>
  <c r="G62" i="9" s="1"/>
  <c r="G46" i="9"/>
  <c r="G75" i="9" s="1"/>
  <c r="F41" i="9"/>
  <c r="D41" i="9"/>
  <c r="E41" i="9" s="1"/>
  <c r="C41" i="9"/>
  <c r="B41" i="9"/>
  <c r="G40" i="9"/>
  <c r="G41" i="9" s="1"/>
  <c r="G38" i="9"/>
  <c r="F38" i="9"/>
  <c r="D38" i="9"/>
  <c r="E38" i="9" s="1"/>
  <c r="C38" i="9"/>
  <c r="B38" i="9"/>
  <c r="F32" i="9"/>
  <c r="D32" i="9"/>
  <c r="E32" i="9" s="1"/>
  <c r="C32" i="9"/>
  <c r="C42" i="9" s="1"/>
  <c r="B32" i="9"/>
  <c r="G26" i="9"/>
  <c r="G24" i="9"/>
  <c r="G32" i="9" s="1"/>
  <c r="G21" i="9"/>
  <c r="G42" i="9" s="1"/>
  <c r="F21" i="9"/>
  <c r="F42" i="9" s="1"/>
  <c r="D21" i="9"/>
  <c r="E21" i="9" s="1"/>
  <c r="C21" i="9"/>
  <c r="B18" i="9"/>
  <c r="B21" i="9" s="1"/>
  <c r="B42" i="9" s="1"/>
  <c r="G17" i="9"/>
  <c r="G14" i="9"/>
  <c r="G7" i="9"/>
  <c r="D5" i="9"/>
  <c r="G2" i="9"/>
  <c r="F223" i="6"/>
  <c r="F211" i="6"/>
  <c r="D211" i="6"/>
  <c r="G220" i="6"/>
  <c r="G219" i="6"/>
  <c r="G150" i="6"/>
  <c r="G203" i="6"/>
  <c r="D140" i="6"/>
  <c r="G131" i="6"/>
  <c r="U39" i="2"/>
  <c r="U33" i="2"/>
  <c r="U25" i="2"/>
  <c r="G126" i="6"/>
  <c r="T4" i="2"/>
  <c r="M46" i="2"/>
  <c r="M57" i="2"/>
  <c r="M67" i="2"/>
  <c r="M70" i="2"/>
  <c r="M68" i="2"/>
  <c r="G112" i="6"/>
  <c r="M62" i="2"/>
  <c r="M65" i="2"/>
  <c r="M38" i="2"/>
  <c r="M32" i="2"/>
  <c r="M24" i="2"/>
  <c r="M10" i="2"/>
  <c r="M9" i="2"/>
  <c r="G24" i="6"/>
  <c r="G26" i="6"/>
  <c r="G143" i="6"/>
  <c r="G167" i="6"/>
  <c r="G14" i="6"/>
  <c r="G2" i="6"/>
  <c r="E199" i="9" l="1"/>
  <c r="E168" i="9"/>
  <c r="C205" i="9"/>
  <c r="C207" i="9" s="1"/>
  <c r="G77" i="9"/>
  <c r="D205" i="9"/>
  <c r="I62" i="9"/>
  <c r="K42" i="9"/>
  <c r="E144" i="9"/>
  <c r="B205" i="9"/>
  <c r="B207" i="9" s="1"/>
  <c r="D42" i="9"/>
  <c r="G89" i="9"/>
  <c r="G76" i="9"/>
  <c r="G90" i="9"/>
  <c r="F205" i="9"/>
  <c r="G91" i="9"/>
  <c r="G94" i="9"/>
  <c r="D124" i="6"/>
  <c r="D62" i="6"/>
  <c r="G32" i="6"/>
  <c r="G17" i="6"/>
  <c r="D5" i="6"/>
  <c r="E202" i="6"/>
  <c r="C211" i="6"/>
  <c r="C190" i="6"/>
  <c r="C191" i="6" s="1"/>
  <c r="C204" i="6"/>
  <c r="D204" i="6"/>
  <c r="F204" i="6"/>
  <c r="E204" i="6" s="1"/>
  <c r="G204" i="6"/>
  <c r="B204" i="6"/>
  <c r="D199" i="6"/>
  <c r="C199" i="6"/>
  <c r="F199" i="6"/>
  <c r="G199" i="6"/>
  <c r="F191" i="6"/>
  <c r="D191" i="6"/>
  <c r="G191" i="6"/>
  <c r="C168" i="6"/>
  <c r="D168" i="6"/>
  <c r="F168" i="6"/>
  <c r="B168" i="6"/>
  <c r="C152" i="6"/>
  <c r="D152" i="6"/>
  <c r="F152" i="6"/>
  <c r="G152" i="6"/>
  <c r="C144" i="6"/>
  <c r="F144" i="6"/>
  <c r="D144" i="6"/>
  <c r="C124" i="6"/>
  <c r="F124" i="6"/>
  <c r="C62" i="6"/>
  <c r="F62" i="6"/>
  <c r="B62" i="6"/>
  <c r="G38" i="6"/>
  <c r="B223" i="6"/>
  <c r="B221" i="6"/>
  <c r="C221" i="6"/>
  <c r="D221" i="6"/>
  <c r="F221" i="6"/>
  <c r="G124" i="9" l="1"/>
  <c r="G205" i="9" s="1"/>
  <c r="G207" i="9" s="1"/>
  <c r="G211" i="9" s="1"/>
  <c r="G212" i="9" s="1"/>
  <c r="E205" i="9"/>
  <c r="D207" i="9"/>
  <c r="D211" i="9" s="1"/>
  <c r="D212" i="9" s="1"/>
  <c r="I42" i="9"/>
  <c r="E42" i="9"/>
  <c r="F207" i="9"/>
  <c r="F211" i="9" s="1"/>
  <c r="F212" i="9" s="1"/>
  <c r="E168" i="6"/>
  <c r="E152" i="6"/>
  <c r="E191" i="6"/>
  <c r="E144" i="6"/>
  <c r="E199" i="6"/>
  <c r="E124" i="6"/>
  <c r="F205" i="6"/>
  <c r="C205" i="6"/>
  <c r="E62" i="6"/>
  <c r="D205" i="6"/>
  <c r="K62" i="6"/>
  <c r="C41" i="6"/>
  <c r="D41" i="6"/>
  <c r="F41" i="6"/>
  <c r="B41" i="6"/>
  <c r="C38" i="6"/>
  <c r="D38" i="6"/>
  <c r="F38" i="6"/>
  <c r="B38" i="6"/>
  <c r="C32" i="6"/>
  <c r="D32" i="6"/>
  <c r="F32" i="6"/>
  <c r="B32" i="6"/>
  <c r="C21" i="6"/>
  <c r="D21" i="6"/>
  <c r="F21" i="6"/>
  <c r="R61" i="2"/>
  <c r="R59" i="2"/>
  <c r="R22" i="2"/>
  <c r="R12" i="2"/>
  <c r="R49" i="2"/>
  <c r="R80" i="2" s="1"/>
  <c r="R35" i="2"/>
  <c r="R30" i="2"/>
  <c r="R28" i="2"/>
  <c r="R14" i="2"/>
  <c r="G168" i="6"/>
  <c r="G122" i="6"/>
  <c r="G123" i="6"/>
  <c r="G120" i="6"/>
  <c r="G119" i="6"/>
  <c r="G115" i="6"/>
  <c r="G118" i="6"/>
  <c r="G114" i="6" s="1"/>
  <c r="G113" i="6"/>
  <c r="S50" i="2"/>
  <c r="R78" i="2"/>
  <c r="P100" i="2"/>
  <c r="M78" i="2"/>
  <c r="G59" i="6" s="1"/>
  <c r="N78" i="2"/>
  <c r="O78" i="2"/>
  <c r="P78" i="2"/>
  <c r="Q78" i="2"/>
  <c r="S78" i="2"/>
  <c r="T78" i="2"/>
  <c r="M95" i="2"/>
  <c r="M11" i="2"/>
  <c r="M19" i="2"/>
  <c r="M16" i="2"/>
  <c r="M18" i="2"/>
  <c r="M61" i="2"/>
  <c r="M12" i="2"/>
  <c r="M41" i="2"/>
  <c r="M13" i="2"/>
  <c r="M51" i="2"/>
  <c r="M64" i="2"/>
  <c r="M31" i="2"/>
  <c r="M27" i="2"/>
  <c r="T49" i="2"/>
  <c r="T51" i="2"/>
  <c r="M83" i="2"/>
  <c r="G54" i="6" s="1"/>
  <c r="G93" i="6" l="1"/>
  <c r="E38" i="6"/>
  <c r="E205" i="6"/>
  <c r="E41" i="6"/>
  <c r="E32" i="6"/>
  <c r="E21" i="6"/>
  <c r="C42" i="6"/>
  <c r="C207" i="6" s="1"/>
  <c r="F42" i="6"/>
  <c r="D42" i="6"/>
  <c r="G221" i="6" l="1"/>
  <c r="D207" i="6"/>
  <c r="E42" i="6"/>
  <c r="K42" i="6"/>
  <c r="F207" i="6"/>
  <c r="S49" i="2"/>
  <c r="R4" i="2"/>
  <c r="R50" i="2" s="1"/>
  <c r="M8" i="2"/>
  <c r="R8" i="2"/>
  <c r="M81" i="2"/>
  <c r="R83" i="2"/>
  <c r="S83" i="2"/>
  <c r="T83" i="2"/>
  <c r="G69" i="6" s="1"/>
  <c r="R81" i="2"/>
  <c r="G105" i="6" s="1"/>
  <c r="S81" i="2"/>
  <c r="Q51" i="2"/>
  <c r="P51" i="2"/>
  <c r="O51" i="2"/>
  <c r="N51" i="2"/>
  <c r="G53" i="6" l="1"/>
  <c r="G92" i="6"/>
  <c r="R27" i="2"/>
  <c r="R29" i="2"/>
  <c r="R60" i="2"/>
  <c r="R13" i="2"/>
  <c r="R36" i="2"/>
  <c r="R63" i="2"/>
  <c r="R31" i="2"/>
  <c r="R43" i="2"/>
  <c r="R19" i="2"/>
  <c r="R44" i="2"/>
  <c r="R21" i="2"/>
  <c r="R45" i="2"/>
  <c r="R17" i="2"/>
  <c r="R18" i="2"/>
  <c r="R20" i="2"/>
  <c r="R47" i="2"/>
  <c r="R15" i="2"/>
  <c r="R37" i="2"/>
  <c r="R48" i="2"/>
  <c r="R23" i="2"/>
  <c r="O54" i="2"/>
  <c r="O83" i="2" s="1"/>
  <c r="M66" i="2"/>
  <c r="M59" i="2"/>
  <c r="M74" i="2"/>
  <c r="B211" i="6"/>
  <c r="B198" i="6"/>
  <c r="B199" i="6" s="1"/>
  <c r="B181" i="6"/>
  <c r="B191" i="6" s="1"/>
  <c r="B151" i="6"/>
  <c r="B149" i="6"/>
  <c r="B139" i="6"/>
  <c r="G134" i="6"/>
  <c r="G133" i="6"/>
  <c r="G130" i="6"/>
  <c r="G127" i="6"/>
  <c r="B126" i="6"/>
  <c r="G125" i="6"/>
  <c r="B112" i="6"/>
  <c r="B124" i="6" s="1"/>
  <c r="G74" i="6"/>
  <c r="G73" i="6"/>
  <c r="G72" i="6"/>
  <c r="G71" i="6"/>
  <c r="G67" i="6"/>
  <c r="G66" i="6"/>
  <c r="G65" i="6"/>
  <c r="G64" i="6"/>
  <c r="G98" i="6"/>
  <c r="G80" i="6"/>
  <c r="I62" i="6"/>
  <c r="B18" i="6"/>
  <c r="B21" i="6" s="1"/>
  <c r="B42" i="6" s="1"/>
  <c r="G7" i="6"/>
  <c r="G21" i="6" s="1"/>
  <c r="B152" i="6" l="1"/>
  <c r="B144" i="6"/>
  <c r="C212" i="6"/>
  <c r="G144" i="6"/>
  <c r="M80" i="2"/>
  <c r="G51" i="6" s="1"/>
  <c r="G90" i="6" s="1"/>
  <c r="I42" i="6"/>
  <c r="G85" i="6"/>
  <c r="N54" i="2"/>
  <c r="N83" i="2" s="1"/>
  <c r="Q54" i="2"/>
  <c r="Q83" i="2" s="1"/>
  <c r="P54" i="2"/>
  <c r="P83" i="2" s="1"/>
  <c r="B212" i="6"/>
  <c r="D191" i="5"/>
  <c r="D195" i="5"/>
  <c r="D159" i="5"/>
  <c r="D42" i="5"/>
  <c r="D25" i="5"/>
  <c r="D61" i="5"/>
  <c r="D78" i="5"/>
  <c r="D34" i="5"/>
  <c r="D79" i="5"/>
  <c r="D106" i="5"/>
  <c r="D63" i="5"/>
  <c r="D62" i="5"/>
  <c r="D26" i="5"/>
  <c r="D114" i="5"/>
  <c r="D105" i="5"/>
  <c r="D60" i="5"/>
  <c r="U193" i="5"/>
  <c r="D179" i="5"/>
  <c r="R77" i="2"/>
  <c r="D31" i="5"/>
  <c r="F212" i="6" l="1"/>
  <c r="B205" i="6"/>
  <c r="B207" i="6" s="1"/>
  <c r="G77" i="6"/>
  <c r="G40" i="6"/>
  <c r="G41" i="6" s="1"/>
  <c r="G42" i="6" s="1"/>
  <c r="U77" i="5"/>
  <c r="D69" i="5"/>
  <c r="D33" i="5"/>
  <c r="D51" i="5"/>
  <c r="H9" i="5"/>
  <c r="M82" i="2"/>
  <c r="G55" i="6" s="1"/>
  <c r="S82" i="2"/>
  <c r="H77" i="5"/>
  <c r="D95" i="5"/>
  <c r="D77" i="5"/>
  <c r="S23" i="2"/>
  <c r="S45" i="2"/>
  <c r="S15" i="2"/>
  <c r="S22" i="2"/>
  <c r="S21" i="2"/>
  <c r="S37" i="2"/>
  <c r="S47" i="2"/>
  <c r="S14" i="2"/>
  <c r="S66" i="2"/>
  <c r="S44" i="2"/>
  <c r="S30" i="2"/>
  <c r="S28" i="2"/>
  <c r="S43" i="2"/>
  <c r="S19" i="2"/>
  <c r="S20" i="2"/>
  <c r="S18" i="2"/>
  <c r="R88" i="2"/>
  <c r="G109" i="6" s="1"/>
  <c r="S63" i="2"/>
  <c r="S61" i="2"/>
  <c r="S59" i="2"/>
  <c r="S17" i="2"/>
  <c r="S42" i="2"/>
  <c r="S16" i="2"/>
  <c r="S35" i="2"/>
  <c r="S41" i="2"/>
  <c r="S64" i="2"/>
  <c r="S31" i="2"/>
  <c r="S8" i="2"/>
  <c r="S53" i="2"/>
  <c r="S52" i="2"/>
  <c r="S48" i="2"/>
  <c r="S26" i="2"/>
  <c r="S36" i="2"/>
  <c r="S34" i="2"/>
  <c r="S13" i="2"/>
  <c r="S12" i="2"/>
  <c r="S29" i="2"/>
  <c r="S27" i="2"/>
  <c r="S60" i="2"/>
  <c r="R34" i="2"/>
  <c r="G81" i="6" l="1"/>
  <c r="G94" i="6"/>
  <c r="D212" i="6"/>
  <c r="G103" i="6"/>
  <c r="R76" i="2"/>
  <c r="R87" i="2"/>
  <c r="G101" i="6" s="1"/>
  <c r="D14" i="5"/>
  <c r="U80" i="5"/>
  <c r="H8" i="5"/>
  <c r="R84" i="2"/>
  <c r="R82" i="2"/>
  <c r="G106" i="6" s="1"/>
  <c r="R79" i="2"/>
  <c r="G104" i="6" s="1"/>
  <c r="Q71" i="2"/>
  <c r="Q69" i="2"/>
  <c r="Q66" i="2"/>
  <c r="Q64" i="2"/>
  <c r="Q63" i="2"/>
  <c r="Q61" i="2"/>
  <c r="Q60" i="2"/>
  <c r="Q59" i="2"/>
  <c r="Q56" i="2"/>
  <c r="Q55" i="2"/>
  <c r="Q53" i="2"/>
  <c r="Q52" i="2"/>
  <c r="Q50" i="2"/>
  <c r="Q81" i="2" s="1"/>
  <c r="Q49" i="2"/>
  <c r="Q48" i="2"/>
  <c r="Q47" i="2"/>
  <c r="Q82" i="2" s="1"/>
  <c r="Q45" i="2"/>
  <c r="Q44" i="2"/>
  <c r="Q43" i="2"/>
  <c r="Q42" i="2"/>
  <c r="Q41" i="2"/>
  <c r="Q40" i="2"/>
  <c r="Q37" i="2"/>
  <c r="Q36" i="2"/>
  <c r="Q35" i="2"/>
  <c r="Q34" i="2"/>
  <c r="Q31" i="2"/>
  <c r="Q30" i="2"/>
  <c r="Q29" i="2"/>
  <c r="Q28" i="2"/>
  <c r="Q26" i="2"/>
  <c r="Q23" i="2"/>
  <c r="Q22" i="2"/>
  <c r="Q21" i="2"/>
  <c r="Q20" i="2"/>
  <c r="Q19" i="2"/>
  <c r="Q18" i="2"/>
  <c r="Q17" i="2"/>
  <c r="Q16" i="2"/>
  <c r="Q15" i="2"/>
  <c r="Q14" i="2"/>
  <c r="Q13" i="2"/>
  <c r="Q12" i="2"/>
  <c r="Q8" i="2"/>
  <c r="Q27" i="2"/>
  <c r="U6" i="5" l="1"/>
  <c r="D6" i="5"/>
  <c r="Q9" i="2"/>
  <c r="N9" i="2"/>
  <c r="O9" i="2"/>
  <c r="N57" i="2"/>
  <c r="P56" i="2"/>
  <c r="O56" i="2"/>
  <c r="N56" i="2"/>
  <c r="P55" i="2"/>
  <c r="O55" i="2"/>
  <c r="N55" i="2"/>
  <c r="P53" i="2"/>
  <c r="O53" i="2"/>
  <c r="N53" i="2"/>
  <c r="P52" i="2"/>
  <c r="O52" i="2"/>
  <c r="N52" i="2"/>
  <c r="P50" i="2"/>
  <c r="P81" i="2" s="1"/>
  <c r="O50" i="2"/>
  <c r="O81" i="2" s="1"/>
  <c r="N50" i="2"/>
  <c r="N81" i="2" s="1"/>
  <c r="P49" i="2"/>
  <c r="O49" i="2"/>
  <c r="N49" i="2"/>
  <c r="P48" i="2"/>
  <c r="O48" i="2"/>
  <c r="N48" i="2"/>
  <c r="S80" i="2"/>
  <c r="P47" i="2"/>
  <c r="P82" i="2" s="1"/>
  <c r="O47" i="2"/>
  <c r="N47" i="2"/>
  <c r="N82" i="2" s="1"/>
  <c r="P20" i="2"/>
  <c r="P8" i="2"/>
  <c r="P74" i="2" s="1"/>
  <c r="P12" i="2"/>
  <c r="P13" i="2"/>
  <c r="P14" i="2"/>
  <c r="P15" i="2"/>
  <c r="P16" i="2"/>
  <c r="P17" i="2"/>
  <c r="P18" i="2"/>
  <c r="P19" i="2"/>
  <c r="P21" i="2"/>
  <c r="P22" i="2"/>
  <c r="P23" i="2"/>
  <c r="P26" i="2"/>
  <c r="P27" i="2"/>
  <c r="P28" i="2"/>
  <c r="P29" i="2"/>
  <c r="P30" i="2"/>
  <c r="P31" i="2"/>
  <c r="P34" i="2"/>
  <c r="P35" i="2"/>
  <c r="P36" i="2"/>
  <c r="P37" i="2"/>
  <c r="P40" i="2"/>
  <c r="P41" i="2"/>
  <c r="P42" i="2"/>
  <c r="P43" i="2"/>
  <c r="P45" i="2"/>
  <c r="P59" i="2"/>
  <c r="P60" i="2"/>
  <c r="P61" i="2"/>
  <c r="P63" i="2"/>
  <c r="P64" i="2"/>
  <c r="P66" i="2"/>
  <c r="P89" i="2" s="1"/>
  <c r="P94" i="2"/>
  <c r="P95" i="2"/>
  <c r="P88" i="2" l="1"/>
  <c r="O82" i="2"/>
  <c r="Q80" i="2"/>
  <c r="P87" i="2"/>
  <c r="P84" i="2"/>
  <c r="P76" i="2"/>
  <c r="P75" i="2"/>
  <c r="N38" i="2" l="1"/>
  <c r="P44" i="2"/>
  <c r="R90" i="2"/>
  <c r="S90" i="2"/>
  <c r="T90" i="2"/>
  <c r="M39" i="2"/>
  <c r="M33" i="2"/>
  <c r="M25" i="2"/>
  <c r="M94" i="2" l="1"/>
  <c r="P77" i="2"/>
  <c r="P80" i="2"/>
  <c r="Q74" i="2"/>
  <c r="P79" i="2"/>
  <c r="N70" i="2"/>
  <c r="N20" i="2"/>
  <c r="O20" i="2"/>
  <c r="P71" i="2"/>
  <c r="P91" i="2" s="1"/>
  <c r="P85" i="2" l="1"/>
  <c r="P69" i="2"/>
  <c r="N69" i="2"/>
  <c r="N90" i="2" s="1"/>
  <c r="M90" i="2"/>
  <c r="G56" i="6" s="1"/>
  <c r="Q90" i="2"/>
  <c r="O69" i="2"/>
  <c r="O90" i="2" s="1"/>
  <c r="Q98" i="2"/>
  <c r="G95" i="6" l="1"/>
  <c r="G82" i="6"/>
  <c r="D24" i="5"/>
  <c r="D102" i="5"/>
  <c r="D103" i="5"/>
  <c r="P90" i="2"/>
  <c r="P92" i="2" s="1"/>
  <c r="P97" i="2" s="1"/>
  <c r="P98" i="2"/>
  <c r="T91" i="2"/>
  <c r="S91" i="2"/>
  <c r="S89" i="2"/>
  <c r="S87" i="2"/>
  <c r="M75" i="2"/>
  <c r="S75" i="2"/>
  <c r="S77" i="2"/>
  <c r="S84" i="2"/>
  <c r="S74" i="2"/>
  <c r="R16" i="2"/>
  <c r="R75" i="2" s="1"/>
  <c r="R66" i="2"/>
  <c r="R89" i="2" s="1"/>
  <c r="G110" i="6" s="1"/>
  <c r="S88" i="2"/>
  <c r="R74" i="2"/>
  <c r="S79" i="2"/>
  <c r="G102" i="6" l="1"/>
  <c r="I110" i="6" s="1"/>
  <c r="R85" i="2"/>
  <c r="S92" i="2"/>
  <c r="S76" i="2"/>
  <c r="S85" i="2" s="1"/>
  <c r="O8" i="2"/>
  <c r="M77" i="2"/>
  <c r="G58" i="6" s="1"/>
  <c r="M79" i="2"/>
  <c r="G52" i="6" s="1"/>
  <c r="S94" i="2"/>
  <c r="M84" i="2"/>
  <c r="R99" i="2" l="1"/>
  <c r="G97" i="6"/>
  <c r="G84" i="6"/>
  <c r="G78" i="6"/>
  <c r="G91" i="6"/>
  <c r="H22" i="5"/>
  <c r="H28" i="5" s="1"/>
  <c r="AD179" i="5"/>
  <c r="AC195" i="5"/>
  <c r="AC199" i="5" s="1"/>
  <c r="AB195" i="5"/>
  <c r="AB199" i="5" s="1"/>
  <c r="AA195" i="5"/>
  <c r="AA199" i="5" s="1"/>
  <c r="Z195" i="5"/>
  <c r="Z199" i="5" s="1"/>
  <c r="Y195" i="5"/>
  <c r="Y199" i="5" s="1"/>
  <c r="X195" i="5"/>
  <c r="X199" i="5" s="1"/>
  <c r="W195" i="5"/>
  <c r="W199" i="5" s="1"/>
  <c r="V195" i="5"/>
  <c r="V199" i="5" s="1"/>
  <c r="U195" i="5"/>
  <c r="T195" i="5"/>
  <c r="T199" i="5" s="1"/>
  <c r="S195" i="5"/>
  <c r="S199" i="5" s="1"/>
  <c r="R195" i="5"/>
  <c r="R199" i="5" s="1"/>
  <c r="Q195" i="5"/>
  <c r="Q199" i="5" s="1"/>
  <c r="P195" i="5"/>
  <c r="P199" i="5" s="1"/>
  <c r="O195" i="5"/>
  <c r="O199" i="5" s="1"/>
  <c r="N195" i="5"/>
  <c r="N199" i="5" s="1"/>
  <c r="M195" i="5"/>
  <c r="M199" i="5" s="1"/>
  <c r="L195" i="5"/>
  <c r="L199" i="5" s="1"/>
  <c r="K195" i="5"/>
  <c r="K199" i="5" s="1"/>
  <c r="J195" i="5"/>
  <c r="J199" i="5" s="1"/>
  <c r="I195" i="5"/>
  <c r="I199" i="5" s="1"/>
  <c r="H195" i="5"/>
  <c r="H199" i="5" s="1"/>
  <c r="G195" i="5"/>
  <c r="G199" i="5" s="1"/>
  <c r="F195" i="5"/>
  <c r="F199" i="5" s="1"/>
  <c r="E195" i="5"/>
  <c r="E199" i="5" s="1"/>
  <c r="C195" i="5"/>
  <c r="C199" i="5" s="1"/>
  <c r="AD194" i="5"/>
  <c r="AD193" i="5"/>
  <c r="AD192" i="5"/>
  <c r="AD191" i="5"/>
  <c r="AD190" i="5"/>
  <c r="AD189" i="5"/>
  <c r="AD188" i="5"/>
  <c r="AD187" i="5"/>
  <c r="AD186" i="5"/>
  <c r="AD185" i="5"/>
  <c r="AD184" i="5"/>
  <c r="AD183" i="5"/>
  <c r="AD182" i="5"/>
  <c r="AD181" i="5"/>
  <c r="AD180" i="5"/>
  <c r="AC174" i="5"/>
  <c r="AB174" i="5"/>
  <c r="AA174" i="5"/>
  <c r="Z174" i="5"/>
  <c r="Y174" i="5"/>
  <c r="X174" i="5"/>
  <c r="W174" i="5"/>
  <c r="V174" i="5"/>
  <c r="U174" i="5"/>
  <c r="T174" i="5"/>
  <c r="S174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AD173" i="5"/>
  <c r="AD172" i="5"/>
  <c r="AD171" i="5"/>
  <c r="AD170" i="5"/>
  <c r="AD169" i="5"/>
  <c r="AD168" i="5"/>
  <c r="AC163" i="5"/>
  <c r="AB163" i="5"/>
  <c r="AA163" i="5"/>
  <c r="Z163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C163" i="5"/>
  <c r="AD162" i="5"/>
  <c r="AD161" i="5"/>
  <c r="AD160" i="5"/>
  <c r="D163" i="5"/>
  <c r="AD158" i="5"/>
  <c r="AD157" i="5"/>
  <c r="AC154" i="5"/>
  <c r="AB154" i="5"/>
  <c r="AA154" i="5"/>
  <c r="Z154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AD153" i="5"/>
  <c r="AD152" i="5"/>
  <c r="AD151" i="5"/>
  <c r="AD150" i="5"/>
  <c r="AD149" i="5"/>
  <c r="AD148" i="5"/>
  <c r="AC143" i="5"/>
  <c r="AB143" i="5"/>
  <c r="AA143" i="5"/>
  <c r="Z143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AD142" i="5"/>
  <c r="AD141" i="5"/>
  <c r="AD140" i="5"/>
  <c r="AD139" i="5"/>
  <c r="AD138" i="5"/>
  <c r="AD137" i="5"/>
  <c r="AC134" i="5"/>
  <c r="AB134" i="5"/>
  <c r="AA134" i="5"/>
  <c r="Z134" i="5"/>
  <c r="Y134" i="5"/>
  <c r="X134" i="5"/>
  <c r="W134" i="5"/>
  <c r="V134" i="5"/>
  <c r="U134" i="5"/>
  <c r="T134" i="5"/>
  <c r="S134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AD133" i="5"/>
  <c r="AD132" i="5"/>
  <c r="AD131" i="5"/>
  <c r="AD130" i="5"/>
  <c r="AD129" i="5"/>
  <c r="AD128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AD124" i="5"/>
  <c r="AD123" i="5"/>
  <c r="AD122" i="5"/>
  <c r="AD121" i="5"/>
  <c r="AD120" i="5"/>
  <c r="AD119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C117" i="5"/>
  <c r="AD116" i="5"/>
  <c r="AD115" i="5"/>
  <c r="AD114" i="5"/>
  <c r="AD113" i="5"/>
  <c r="AD112" i="5"/>
  <c r="AD111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C108" i="5"/>
  <c r="AD107" i="5"/>
  <c r="AD106" i="5"/>
  <c r="AD105" i="5"/>
  <c r="AD104" i="5"/>
  <c r="AD103" i="5"/>
  <c r="AD102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AD98" i="5"/>
  <c r="AD97" i="5"/>
  <c r="AD96" i="5"/>
  <c r="AD95" i="5"/>
  <c r="AD94" i="5"/>
  <c r="AD93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AD89" i="5"/>
  <c r="AD88" i="5"/>
  <c r="AD87" i="5"/>
  <c r="AD86" i="5"/>
  <c r="AD85" i="5"/>
  <c r="AD84" i="5"/>
  <c r="AC81" i="5"/>
  <c r="AB81" i="5"/>
  <c r="AA81" i="5"/>
  <c r="Z81" i="5"/>
  <c r="Y81" i="5"/>
  <c r="X81" i="5"/>
  <c r="W81" i="5"/>
  <c r="V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C81" i="5"/>
  <c r="AD80" i="5"/>
  <c r="U81" i="5"/>
  <c r="AD78" i="5"/>
  <c r="AD77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C73" i="5"/>
  <c r="AD72" i="5"/>
  <c r="AD71" i="5"/>
  <c r="AD70" i="5"/>
  <c r="D73" i="5"/>
  <c r="AD68" i="5"/>
  <c r="AD67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C64" i="5"/>
  <c r="AD63" i="5"/>
  <c r="AD62" i="5"/>
  <c r="AD61" i="5"/>
  <c r="AD60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C55" i="5"/>
  <c r="AD54" i="5"/>
  <c r="AD53" i="5"/>
  <c r="AD52" i="5"/>
  <c r="D55" i="5"/>
  <c r="AD50" i="5"/>
  <c r="AD49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C46" i="5"/>
  <c r="AD45" i="5"/>
  <c r="AD44" i="5"/>
  <c r="AD43" i="5"/>
  <c r="AD42" i="5"/>
  <c r="AD41" i="5"/>
  <c r="AD40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AD36" i="5"/>
  <c r="AD35" i="5"/>
  <c r="AD34" i="5"/>
  <c r="AD33" i="5"/>
  <c r="AD31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G28" i="5"/>
  <c r="F28" i="5"/>
  <c r="E28" i="5"/>
  <c r="C28" i="5"/>
  <c r="AD27" i="5"/>
  <c r="AD26" i="5"/>
  <c r="AD25" i="5"/>
  <c r="AD16" i="5"/>
  <c r="AD15" i="5"/>
  <c r="AD14" i="5"/>
  <c r="R12" i="5"/>
  <c r="R18" i="5" s="1"/>
  <c r="AC10" i="5"/>
  <c r="AC12" i="5" s="1"/>
  <c r="AC18" i="5" s="1"/>
  <c r="AB10" i="5"/>
  <c r="AB12" i="5" s="1"/>
  <c r="AB18" i="5" s="1"/>
  <c r="AA10" i="5"/>
  <c r="AA12" i="5" s="1"/>
  <c r="AA18" i="5" s="1"/>
  <c r="Z10" i="5"/>
  <c r="Z12" i="5" s="1"/>
  <c r="Z18" i="5" s="1"/>
  <c r="Y10" i="5"/>
  <c r="Y12" i="5" s="1"/>
  <c r="Y18" i="5" s="1"/>
  <c r="X10" i="5"/>
  <c r="X12" i="5" s="1"/>
  <c r="X18" i="5" s="1"/>
  <c r="W10" i="5"/>
  <c r="W12" i="5" s="1"/>
  <c r="W18" i="5" s="1"/>
  <c r="V10" i="5"/>
  <c r="V12" i="5" s="1"/>
  <c r="V18" i="5" s="1"/>
  <c r="T10" i="5"/>
  <c r="T12" i="5" s="1"/>
  <c r="T18" i="5" s="1"/>
  <c r="S10" i="5"/>
  <c r="S12" i="5" s="1"/>
  <c r="S18" i="5" s="1"/>
  <c r="R10" i="5"/>
  <c r="Q10" i="5"/>
  <c r="Q12" i="5" s="1"/>
  <c r="Q18" i="5" s="1"/>
  <c r="P10" i="5"/>
  <c r="P12" i="5" s="1"/>
  <c r="P18" i="5" s="1"/>
  <c r="O10" i="5"/>
  <c r="O12" i="5" s="1"/>
  <c r="O18" i="5" s="1"/>
  <c r="N10" i="5"/>
  <c r="N12" i="5" s="1"/>
  <c r="N18" i="5" s="1"/>
  <c r="M10" i="5"/>
  <c r="M12" i="5" s="1"/>
  <c r="M18" i="5" s="1"/>
  <c r="L10" i="5"/>
  <c r="L12" i="5" s="1"/>
  <c r="L18" i="5" s="1"/>
  <c r="K10" i="5"/>
  <c r="K12" i="5" s="1"/>
  <c r="K18" i="5" s="1"/>
  <c r="J10" i="5"/>
  <c r="J12" i="5" s="1"/>
  <c r="J18" i="5" s="1"/>
  <c r="I10" i="5"/>
  <c r="I12" i="5" s="1"/>
  <c r="I18" i="5" s="1"/>
  <c r="G10" i="5"/>
  <c r="G12" i="5" s="1"/>
  <c r="G18" i="5" s="1"/>
  <c r="F10" i="5"/>
  <c r="F12" i="5" s="1"/>
  <c r="F18" i="5" s="1"/>
  <c r="E10" i="5"/>
  <c r="E12" i="5" s="1"/>
  <c r="E18" i="5" s="1"/>
  <c r="D10" i="5"/>
  <c r="C10" i="5"/>
  <c r="C12" i="5" s="1"/>
  <c r="C18" i="5" s="1"/>
  <c r="AD9" i="5"/>
  <c r="AD8" i="5"/>
  <c r="AD7" i="5"/>
  <c r="U10" i="5"/>
  <c r="AD3" i="5"/>
  <c r="T50" i="2"/>
  <c r="T81" i="2" s="1"/>
  <c r="G68" i="6" s="1"/>
  <c r="S95" i="2"/>
  <c r="Q77" i="2"/>
  <c r="O40" i="2"/>
  <c r="N40" i="2"/>
  <c r="N42" i="2"/>
  <c r="O42" i="2"/>
  <c r="N34" i="2"/>
  <c r="N36" i="2"/>
  <c r="M87" i="2"/>
  <c r="G46" i="6" s="1"/>
  <c r="M76" i="2"/>
  <c r="M91" i="2"/>
  <c r="G57" i="6" s="1"/>
  <c r="M88" i="2"/>
  <c r="G60" i="6" s="1"/>
  <c r="M89" i="2"/>
  <c r="G61" i="6" s="1"/>
  <c r="N59" i="2"/>
  <c r="N60" i="2"/>
  <c r="N61" i="2"/>
  <c r="N8" i="2"/>
  <c r="N12" i="2"/>
  <c r="N13" i="2"/>
  <c r="N14" i="2"/>
  <c r="N15" i="2"/>
  <c r="N16" i="2"/>
  <c r="N43" i="2"/>
  <c r="N17" i="2"/>
  <c r="N18" i="2"/>
  <c r="N19" i="2"/>
  <c r="N21" i="2"/>
  <c r="N22" i="2"/>
  <c r="N23" i="2"/>
  <c r="N26" i="2"/>
  <c r="N28" i="2"/>
  <c r="N29" i="2"/>
  <c r="N10" i="2"/>
  <c r="N24" i="2"/>
  <c r="N30" i="2"/>
  <c r="N31" i="2"/>
  <c r="N27" i="2"/>
  <c r="N32" i="2"/>
  <c r="N64" i="2"/>
  <c r="N41" i="2"/>
  <c r="N44" i="2"/>
  <c r="N80" i="2" s="1"/>
  <c r="N35" i="2"/>
  <c r="N45" i="2"/>
  <c r="N37" i="2"/>
  <c r="N46" i="2"/>
  <c r="N62" i="2"/>
  <c r="N63" i="2"/>
  <c r="N65" i="2"/>
  <c r="N66" i="2"/>
  <c r="N89" i="2" s="1"/>
  <c r="N67" i="2"/>
  <c r="N68" i="2"/>
  <c r="N71" i="2"/>
  <c r="N91" i="2" s="1"/>
  <c r="O59" i="2"/>
  <c r="O60" i="2"/>
  <c r="O61" i="2"/>
  <c r="O12" i="2"/>
  <c r="O13" i="2"/>
  <c r="O14" i="2"/>
  <c r="O15" i="2"/>
  <c r="O16" i="2"/>
  <c r="O43" i="2"/>
  <c r="O17" i="2"/>
  <c r="O18" i="2"/>
  <c r="O19" i="2"/>
  <c r="O21" i="2"/>
  <c r="O22" i="2"/>
  <c r="O23" i="2"/>
  <c r="O26" i="2"/>
  <c r="O28" i="2"/>
  <c r="O29" i="2"/>
  <c r="O30" i="2"/>
  <c r="O31" i="2"/>
  <c r="O27" i="2"/>
  <c r="O34" i="2"/>
  <c r="O64" i="2"/>
  <c r="O36" i="2"/>
  <c r="O41" i="2"/>
  <c r="O44" i="2"/>
  <c r="O80" i="2" s="1"/>
  <c r="O35" i="2"/>
  <c r="O45" i="2"/>
  <c r="O37" i="2"/>
  <c r="O63" i="2"/>
  <c r="O66" i="2"/>
  <c r="O89" i="2" s="1"/>
  <c r="O71" i="2"/>
  <c r="O91" i="2" s="1"/>
  <c r="T95" i="2"/>
  <c r="O95" i="2"/>
  <c r="R95" i="2" s="1"/>
  <c r="T94" i="2"/>
  <c r="O94" i="2"/>
  <c r="N94" i="2"/>
  <c r="Q94" i="2" s="1"/>
  <c r="R91" i="2"/>
  <c r="Q91" i="2"/>
  <c r="Q89" i="2"/>
  <c r="R94" i="2" l="1"/>
  <c r="O98" i="2"/>
  <c r="G87" i="6"/>
  <c r="G100" i="6"/>
  <c r="G99" i="6"/>
  <c r="G86" i="6"/>
  <c r="G96" i="6"/>
  <c r="G83" i="6"/>
  <c r="M85" i="2"/>
  <c r="G48" i="6"/>
  <c r="G88" i="6"/>
  <c r="G75" i="6"/>
  <c r="N95" i="2"/>
  <c r="Q95" i="2" s="1"/>
  <c r="N74" i="2"/>
  <c r="N98" i="2"/>
  <c r="T41" i="2"/>
  <c r="T44" i="2"/>
  <c r="D75" i="5"/>
  <c r="AD75" i="5" s="1"/>
  <c r="D22" i="5"/>
  <c r="AD22" i="5" s="1"/>
  <c r="AD143" i="5"/>
  <c r="AD154" i="5"/>
  <c r="AD6" i="5"/>
  <c r="AD10" i="5" s="1"/>
  <c r="AD12" i="5" s="1"/>
  <c r="AD18" i="5" s="1"/>
  <c r="AD69" i="5"/>
  <c r="AD73" i="5" s="1"/>
  <c r="AD51" i="5"/>
  <c r="AD55" i="5" s="1"/>
  <c r="AD90" i="5"/>
  <c r="AD99" i="5"/>
  <c r="H145" i="5"/>
  <c r="H165" i="5" s="1"/>
  <c r="H176" i="5" s="1"/>
  <c r="D16" i="4" s="1"/>
  <c r="P145" i="5"/>
  <c r="P165" i="5" s="1"/>
  <c r="P176" i="5" s="1"/>
  <c r="P197" i="5" s="1"/>
  <c r="X145" i="5"/>
  <c r="X165" i="5" s="1"/>
  <c r="X176" i="5" s="1"/>
  <c r="X197" i="5" s="1"/>
  <c r="AD174" i="5"/>
  <c r="O145" i="5"/>
  <c r="O165" i="5" s="1"/>
  <c r="O176" i="5" s="1"/>
  <c r="O197" i="5" s="1"/>
  <c r="AD108" i="5"/>
  <c r="D108" i="5"/>
  <c r="J145" i="5"/>
  <c r="J165" i="5" s="1"/>
  <c r="J176" i="5" s="1"/>
  <c r="J197" i="5" s="1"/>
  <c r="R145" i="5"/>
  <c r="R165" i="5" s="1"/>
  <c r="R176" i="5" s="1"/>
  <c r="R197" i="5" s="1"/>
  <c r="Z145" i="5"/>
  <c r="Z165" i="5" s="1"/>
  <c r="Z176" i="5" s="1"/>
  <c r="Z197" i="5" s="1"/>
  <c r="I145" i="5"/>
  <c r="I165" i="5" s="1"/>
  <c r="I176" i="5" s="1"/>
  <c r="I197" i="5" s="1"/>
  <c r="Q145" i="5"/>
  <c r="Q165" i="5" s="1"/>
  <c r="Q176" i="5" s="1"/>
  <c r="Q197" i="5" s="1"/>
  <c r="Y145" i="5"/>
  <c r="Y165" i="5" s="1"/>
  <c r="Y176" i="5" s="1"/>
  <c r="Y197" i="5" s="1"/>
  <c r="D46" i="5"/>
  <c r="L145" i="5"/>
  <c r="L165" i="5" s="1"/>
  <c r="L176" i="5" s="1"/>
  <c r="L197" i="5" s="1"/>
  <c r="T145" i="5"/>
  <c r="T165" i="5" s="1"/>
  <c r="T176" i="5" s="1"/>
  <c r="T197" i="5" s="1"/>
  <c r="AB145" i="5"/>
  <c r="AB165" i="5" s="1"/>
  <c r="AB176" i="5" s="1"/>
  <c r="AB197" i="5" s="1"/>
  <c r="G145" i="5"/>
  <c r="G165" i="5" s="1"/>
  <c r="G176" i="5" s="1"/>
  <c r="G197" i="5" s="1"/>
  <c r="AA145" i="5"/>
  <c r="AA165" i="5" s="1"/>
  <c r="AA176" i="5" s="1"/>
  <c r="AA197" i="5" s="1"/>
  <c r="U199" i="5"/>
  <c r="AD46" i="5"/>
  <c r="AD117" i="5"/>
  <c r="AD125" i="5"/>
  <c r="W145" i="5"/>
  <c r="W165" i="5" s="1"/>
  <c r="W176" i="5" s="1"/>
  <c r="W197" i="5" s="1"/>
  <c r="D117" i="5"/>
  <c r="C145" i="5"/>
  <c r="C165" i="5" s="1"/>
  <c r="C176" i="5" s="1"/>
  <c r="C197" i="5" s="1"/>
  <c r="S145" i="5"/>
  <c r="S165" i="5" s="1"/>
  <c r="S176" i="5" s="1"/>
  <c r="S197" i="5" s="1"/>
  <c r="AD134" i="5"/>
  <c r="E145" i="5"/>
  <c r="E165" i="5" s="1"/>
  <c r="E176" i="5" s="1"/>
  <c r="E197" i="5" s="1"/>
  <c r="M145" i="5"/>
  <c r="M165" i="5" s="1"/>
  <c r="M176" i="5" s="1"/>
  <c r="M197" i="5" s="1"/>
  <c r="AC145" i="5"/>
  <c r="AC165" i="5" s="1"/>
  <c r="AC176" i="5" s="1"/>
  <c r="AC197" i="5" s="1"/>
  <c r="K145" i="5"/>
  <c r="K165" i="5" s="1"/>
  <c r="K176" i="5" s="1"/>
  <c r="K197" i="5" s="1"/>
  <c r="F145" i="5"/>
  <c r="F165" i="5" s="1"/>
  <c r="F176" i="5" s="1"/>
  <c r="F197" i="5" s="1"/>
  <c r="N145" i="5"/>
  <c r="N165" i="5" s="1"/>
  <c r="N176" i="5" s="1"/>
  <c r="N197" i="5" s="1"/>
  <c r="V145" i="5"/>
  <c r="V165" i="5" s="1"/>
  <c r="V176" i="5" s="1"/>
  <c r="V197" i="5" s="1"/>
  <c r="R98" i="2"/>
  <c r="R100" i="2" s="1"/>
  <c r="T77" i="2"/>
  <c r="T52" i="2"/>
  <c r="T53" i="2"/>
  <c r="T47" i="2"/>
  <c r="T48" i="2"/>
  <c r="M92" i="2"/>
  <c r="N77" i="2"/>
  <c r="T20" i="2"/>
  <c r="T27" i="2"/>
  <c r="O88" i="2"/>
  <c r="T29" i="2"/>
  <c r="T64" i="2"/>
  <c r="T42" i="2"/>
  <c r="O77" i="2"/>
  <c r="O74" i="2"/>
  <c r="N79" i="2"/>
  <c r="Q84" i="2"/>
  <c r="Q79" i="2"/>
  <c r="Q88" i="2"/>
  <c r="N87" i="2"/>
  <c r="O84" i="2"/>
  <c r="Q76" i="2"/>
  <c r="O87" i="2"/>
  <c r="T22" i="2"/>
  <c r="Q87" i="2"/>
  <c r="Q75" i="2"/>
  <c r="N88" i="2"/>
  <c r="N76" i="2"/>
  <c r="N75" i="2"/>
  <c r="T28" i="2"/>
  <c r="O79" i="2"/>
  <c r="O76" i="2"/>
  <c r="T12" i="2"/>
  <c r="T23" i="2"/>
  <c r="N84" i="2"/>
  <c r="AD195" i="5"/>
  <c r="AD199" i="5" s="1"/>
  <c r="D199" i="5"/>
  <c r="U145" i="5"/>
  <c r="U165" i="5" s="1"/>
  <c r="H10" i="5"/>
  <c r="H12" i="5" s="1"/>
  <c r="H18" i="5" s="1"/>
  <c r="D12" i="5"/>
  <c r="D18" i="5" s="1"/>
  <c r="AD24" i="5"/>
  <c r="AD159" i="5"/>
  <c r="AD163" i="5" s="1"/>
  <c r="AD79" i="5"/>
  <c r="U12" i="5"/>
  <c r="U18" i="5" s="1"/>
  <c r="T14" i="2"/>
  <c r="T30" i="2"/>
  <c r="T59" i="2"/>
  <c r="T16" i="2"/>
  <c r="T15" i="2"/>
  <c r="T31" i="2"/>
  <c r="T60" i="2"/>
  <c r="T34" i="2"/>
  <c r="T63" i="2"/>
  <c r="T18" i="2"/>
  <c r="T35" i="2"/>
  <c r="T61" i="2"/>
  <c r="T19" i="2"/>
  <c r="T36" i="2"/>
  <c r="T66" i="2"/>
  <c r="T89" i="2" s="1"/>
  <c r="T8" i="2"/>
  <c r="T21" i="2"/>
  <c r="T43" i="2"/>
  <c r="O75" i="2"/>
  <c r="T17" i="2"/>
  <c r="T13" i="2"/>
  <c r="T26" i="2"/>
  <c r="T45" i="2"/>
  <c r="T37" i="2"/>
  <c r="M98" i="2" l="1"/>
  <c r="M97" i="2"/>
  <c r="G62" i="6"/>
  <c r="M99" i="2" s="1"/>
  <c r="G89" i="6"/>
  <c r="O99" i="2" s="1"/>
  <c r="O100" i="2" s="1"/>
  <c r="G76" i="6"/>
  <c r="N99" i="2" s="1"/>
  <c r="N100" i="2" s="1"/>
  <c r="S98" i="2"/>
  <c r="T82" i="2"/>
  <c r="G70" i="6" s="1"/>
  <c r="D32" i="5"/>
  <c r="D58" i="5"/>
  <c r="AD58" i="5" s="1"/>
  <c r="U176" i="5"/>
  <c r="U197" i="5" s="1"/>
  <c r="D25" i="4"/>
  <c r="U47" i="2"/>
  <c r="D76" i="5"/>
  <c r="H197" i="5"/>
  <c r="V92" i="2"/>
  <c r="T80" i="2"/>
  <c r="T88" i="2"/>
  <c r="T76" i="2"/>
  <c r="T84" i="2"/>
  <c r="T87" i="2"/>
  <c r="T79" i="2"/>
  <c r="T74" i="2"/>
  <c r="T75" i="2"/>
  <c r="Q92" i="2"/>
  <c r="N92" i="2"/>
  <c r="Q85" i="2"/>
  <c r="O92" i="2"/>
  <c r="N85" i="2"/>
  <c r="R92" i="2"/>
  <c r="R97" i="2" s="1"/>
  <c r="O85" i="2"/>
  <c r="O97" i="2" s="1"/>
  <c r="M100" i="2" l="1"/>
  <c r="S99" i="2"/>
  <c r="S100" i="2" s="1"/>
  <c r="G124" i="6"/>
  <c r="G205" i="6" s="1"/>
  <c r="G207" i="6" s="1"/>
  <c r="AD32" i="5"/>
  <c r="AD37" i="5" s="1"/>
  <c r="D37" i="5"/>
  <c r="AD76" i="5"/>
  <c r="AD81" i="5" s="1"/>
  <c r="D81" i="5"/>
  <c r="N97" i="2"/>
  <c r="D59" i="5"/>
  <c r="Q97" i="2"/>
  <c r="V84" i="2"/>
  <c r="T92" i="2"/>
  <c r="T85" i="2"/>
  <c r="G211" i="6" l="1"/>
  <c r="G212" i="6" s="1"/>
  <c r="S97" i="2"/>
  <c r="AD59" i="5"/>
  <c r="AD64" i="5" s="1"/>
  <c r="AD145" i="5" s="1"/>
  <c r="D64" i="5"/>
  <c r="D145" i="5" s="1"/>
  <c r="U97" i="2" l="1"/>
  <c r="D23" i="5"/>
  <c r="AD23" i="5" s="1"/>
  <c r="AD28" i="5" s="1"/>
  <c r="AD165" i="5" s="1"/>
  <c r="AF165" i="5"/>
  <c r="D28" i="5" l="1"/>
  <c r="D165" i="5" s="1"/>
  <c r="D176" i="5" s="1"/>
  <c r="D197" i="5" s="1"/>
  <c r="AG165" i="5"/>
  <c r="AD176" i="5"/>
  <c r="AD197" i="5" s="1"/>
  <c r="D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jodip</author>
    <author>Jodi Poulin</author>
  </authors>
  <commentList>
    <comment ref="F42" authorId="0" shapeId="0" xr:uid="{12F4AA05-BAF5-479F-BFDC-6D8000B1F902}">
      <text>
        <r>
          <rPr>
            <b/>
            <sz val="9"/>
            <color rgb="FF000000"/>
            <rFont val="Tahoma"/>
            <family val="2"/>
          </rPr>
          <t>jodip: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Job 222 Reading Interventionist</t>
        </r>
      </text>
    </comment>
    <comment ref="F43" authorId="0" shapeId="0" xr:uid="{7BFA3887-DCD2-48B5-A2A0-AF36117A9F9D}">
      <text>
        <r>
          <rPr>
            <b/>
            <sz val="9"/>
            <color indexed="81"/>
            <rFont val="Tahoma"/>
            <family val="2"/>
          </rPr>
          <t>jodip:</t>
        </r>
        <r>
          <rPr>
            <sz val="9"/>
            <color indexed="81"/>
            <rFont val="Tahoma"/>
            <family val="2"/>
          </rPr>
          <t xml:space="preserve">
Job 222 Reading Interventionist</t>
        </r>
      </text>
    </comment>
    <comment ref="F45" authorId="0" shapeId="0" xr:uid="{ADB66403-11DD-4F95-A6A4-2801716C7F39}">
      <text>
        <r>
          <rPr>
            <b/>
            <sz val="9"/>
            <color indexed="81"/>
            <rFont val="Tahoma"/>
            <family val="2"/>
          </rPr>
          <t>jodip:</t>
        </r>
        <r>
          <rPr>
            <sz val="9"/>
            <color indexed="81"/>
            <rFont val="Tahoma"/>
            <family val="2"/>
          </rPr>
          <t xml:space="preserve">
Job 222 Reading Interventionist</t>
        </r>
      </text>
    </comment>
    <comment ref="F63" authorId="0" shapeId="0" xr:uid="{16532220-D8A8-4BB8-B621-46E20E4326F3}">
      <text>
        <r>
          <rPr>
            <b/>
            <sz val="9"/>
            <color rgb="FF000000"/>
            <rFont val="Tahoma"/>
            <family val="2"/>
          </rPr>
          <t>jodip: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Job 509 Office Manager /Supervisor</t>
        </r>
      </text>
    </comment>
    <comment ref="F64" authorId="1" shapeId="0" xr:uid="{AC6D2CBB-EA66-4395-B17F-DEF1708F881B}">
      <text>
        <r>
          <rPr>
            <b/>
            <sz val="9"/>
            <color indexed="81"/>
            <rFont val="Tahoma"/>
            <family val="2"/>
          </rPr>
          <t>Jodi Poulin:</t>
        </r>
        <r>
          <rPr>
            <sz val="9"/>
            <color indexed="81"/>
            <rFont val="Tahoma"/>
            <family val="2"/>
          </rPr>
          <t xml:space="preserve">
FY25 Exec Asst.</t>
        </r>
      </text>
    </comment>
  </commentList>
</comments>
</file>

<file path=xl/sharedStrings.xml><?xml version="1.0" encoding="utf-8"?>
<sst xmlns="http://schemas.openxmlformats.org/spreadsheetml/2006/main" count="2010" uniqueCount="683">
  <si>
    <t>Revenue</t>
  </si>
  <si>
    <t xml:space="preserve">      1510000 Interest on Investments</t>
  </si>
  <si>
    <t xml:space="preserve">      1740000 Student Fee Income</t>
  </si>
  <si>
    <t xml:space="preserve">      1740001 Pre K Supplies Fees</t>
  </si>
  <si>
    <t xml:space="preserve">      1750002 Used School Shirts</t>
  </si>
  <si>
    <t xml:space="preserve">      1790001 Yearbook &amp; Photos</t>
  </si>
  <si>
    <t xml:space="preserve">      1910000 Rental Income Gym Usage</t>
  </si>
  <si>
    <t xml:space="preserve">      1920001 Unrestricted Donations</t>
  </si>
  <si>
    <t xml:space="preserve">      1990000 Miscellaneous</t>
  </si>
  <si>
    <t xml:space="preserve">      1990002 Mill Levy Override Funds</t>
  </si>
  <si>
    <t xml:space="preserve">   Total 1000 Local Sources</t>
  </si>
  <si>
    <t xml:space="preserve">   3000 State Sources</t>
  </si>
  <si>
    <t xml:space="preserve">      3954001 Charter Capital Construction Grant 3113</t>
  </si>
  <si>
    <t xml:space="preserve">      3954005 State ELPA 3140</t>
  </si>
  <si>
    <t xml:space="preserve">   Total 3000 State Sources</t>
  </si>
  <si>
    <t xml:space="preserve">   4000 Federal Sources</t>
  </si>
  <si>
    <t xml:space="preserve">   Total 4000 Federal Sources</t>
  </si>
  <si>
    <t xml:space="preserve">   5000 Other Sources</t>
  </si>
  <si>
    <t xml:space="preserve">      5711000 Charter School PPR</t>
  </si>
  <si>
    <t xml:space="preserve">   Total 5000 Other Sources</t>
  </si>
  <si>
    <t>Total Revenue</t>
  </si>
  <si>
    <t>Expenditures</t>
  </si>
  <si>
    <t xml:space="preserve">   Total 0200 Employee Benefits</t>
  </si>
  <si>
    <t xml:space="preserve">   0300 Purchased Prof &amp; Tech Svs</t>
  </si>
  <si>
    <t xml:space="preserve">      0313000 Banking Service Fees</t>
  </si>
  <si>
    <t xml:space="preserve">      0330001 Other Prof Svs Temp Support</t>
  </si>
  <si>
    <t xml:space="preserve">      0331000 Legal Services</t>
  </si>
  <si>
    <t xml:space="preserve">      0332000 Audit Services</t>
  </si>
  <si>
    <t xml:space="preserve">      0335000 Nursing Services</t>
  </si>
  <si>
    <t xml:space="preserve">      0339000 Background Checks</t>
  </si>
  <si>
    <t xml:space="preserve">      0339001 Payroll Processing Fees</t>
  </si>
  <si>
    <t xml:space="preserve">      0339002 IT Services</t>
  </si>
  <si>
    <t xml:space="preserve">      0339010 Accounting Svs</t>
  </si>
  <si>
    <t xml:space="preserve">      0339011 Bond Related Fees</t>
  </si>
  <si>
    <t xml:space="preserve">      0350000 Staff Training &amp; Development</t>
  </si>
  <si>
    <t xml:space="preserve">      0350003 Licenses</t>
  </si>
  <si>
    <t xml:space="preserve">      0390000 D49 Buyback SIS Powerschool</t>
  </si>
  <si>
    <t xml:space="preserve">      0390001 Buyback D49 Central Admin</t>
  </si>
  <si>
    <t xml:space="preserve">   Total 0300 Purchased Prof &amp; Tech Svs</t>
  </si>
  <si>
    <t xml:space="preserve">   0400 Purchased Property Svs</t>
  </si>
  <si>
    <t xml:space="preserve">      0411000 Water &amp; Sewer</t>
  </si>
  <si>
    <t xml:space="preserve">      042100 Trash Disposal</t>
  </si>
  <si>
    <t xml:space="preserve">      0422000 Snow Removal</t>
  </si>
  <si>
    <t xml:space="preserve">      0431000 Building Lease</t>
  </si>
  <si>
    <t xml:space="preserve">   Total 0400 Purchased Property Svs</t>
  </si>
  <si>
    <t xml:space="preserve">   0500 Other Purchased Svs</t>
  </si>
  <si>
    <t xml:space="preserve">   Total 0500 Other Purchased Svs</t>
  </si>
  <si>
    <t xml:space="preserve">   0600 Supplies</t>
  </si>
  <si>
    <t xml:space="preserve">      0610000 Supplies Classroom</t>
  </si>
  <si>
    <t xml:space="preserve">      0610003 Supplies Office General</t>
  </si>
  <si>
    <t xml:space="preserve">      0610004 Supplies After School Program</t>
  </si>
  <si>
    <t xml:space="preserve">      0610005 Supplies Classroom Library</t>
  </si>
  <si>
    <t xml:space="preserve">      0610006 Supplies Art</t>
  </si>
  <si>
    <t xml:space="preserve">      0610007 Supplies Music</t>
  </si>
  <si>
    <t xml:space="preserve">      0610008 PTO Expense</t>
  </si>
  <si>
    <t xml:space="preserve">      0610010 Printing &amp; Copy Supplies</t>
  </si>
  <si>
    <t xml:space="preserve">      0610015 Supplies PE</t>
  </si>
  <si>
    <t xml:space="preserve">      0612000 Miscellaneous</t>
  </si>
  <si>
    <t xml:space="preserve">      0614000 Supplies Bldg &amp; Grounds</t>
  </si>
  <si>
    <t xml:space="preserve">      0615000 Supplies Bathroom</t>
  </si>
  <si>
    <t xml:space="preserve">      0621000 Natural Gas</t>
  </si>
  <si>
    <t xml:space="preserve">      0622000 Electricity</t>
  </si>
  <si>
    <t xml:space="preserve">      0640004 Textbooks &amp; Curriculum</t>
  </si>
  <si>
    <t xml:space="preserve">   Total 0600 Supplies</t>
  </si>
  <si>
    <t xml:space="preserve">   0700 Property</t>
  </si>
  <si>
    <t xml:space="preserve">   Total 0700 Property</t>
  </si>
  <si>
    <t xml:space="preserve">   0800 Other Objects</t>
  </si>
  <si>
    <t xml:space="preserve">   Total 0800 Other Objects</t>
  </si>
  <si>
    <t>Total Expenditures</t>
  </si>
  <si>
    <t>Pikes Peak School of Expeditionary Learning</t>
  </si>
  <si>
    <t/>
  </si>
  <si>
    <t>FUND (N/A)</t>
  </si>
  <si>
    <t>LOCATION (N/A)</t>
  </si>
  <si>
    <t>SPECIAL RPTG ELEMENT (N/A)</t>
  </si>
  <si>
    <t>QBO Business / CDE Grant</t>
  </si>
  <si>
    <t>QBO CLASS / CDE Program</t>
  </si>
  <si>
    <t>QBO ACCOUNT / CDE Object_Source &amp; Job</t>
  </si>
  <si>
    <t>Salary</t>
  </si>
  <si>
    <t>Medicare</t>
  </si>
  <si>
    <t>Employer PERA</t>
  </si>
  <si>
    <t>Employer PERA AED</t>
  </si>
  <si>
    <t>Unemployment Insurance</t>
  </si>
  <si>
    <t>Medical</t>
  </si>
  <si>
    <t>0110</t>
  </si>
  <si>
    <t>11</t>
  </si>
  <si>
    <t>910</t>
  </si>
  <si>
    <t>00</t>
  </si>
  <si>
    <t>0000</t>
  </si>
  <si>
    <t>0040</t>
  </si>
  <si>
    <t>0110-201</t>
  </si>
  <si>
    <t>PreK</t>
  </si>
  <si>
    <t>Bonus</t>
  </si>
  <si>
    <t>Bonuses</t>
  </si>
  <si>
    <t>0339-000</t>
  </si>
  <si>
    <t>Sub</t>
  </si>
  <si>
    <t>Substitute Reserve</t>
  </si>
  <si>
    <t>per day</t>
  </si>
  <si>
    <t>0010</t>
  </si>
  <si>
    <t>Elem</t>
  </si>
  <si>
    <t>MS</t>
  </si>
  <si>
    <t>0382</t>
  </si>
  <si>
    <t>Inter</t>
  </si>
  <si>
    <t>0060</t>
  </si>
  <si>
    <t>0110-417</t>
  </si>
  <si>
    <t>0110-222</t>
  </si>
  <si>
    <t>Bonus Specials</t>
  </si>
  <si>
    <t>0399-000</t>
  </si>
  <si>
    <t>2410</t>
  </si>
  <si>
    <t>0110-100</t>
  </si>
  <si>
    <t>Admin</t>
  </si>
  <si>
    <t>0110-213</t>
  </si>
  <si>
    <t>0110-215</t>
  </si>
  <si>
    <t>2500</t>
  </si>
  <si>
    <t>2410-509</t>
  </si>
  <si>
    <t>Office</t>
  </si>
  <si>
    <t>2410-500</t>
  </si>
  <si>
    <t>2620</t>
  </si>
  <si>
    <t>0110-608</t>
  </si>
  <si>
    <t>Cust</t>
  </si>
  <si>
    <t>Bonus Lunch Monitors</t>
  </si>
  <si>
    <t>2100</t>
  </si>
  <si>
    <t>0110-414</t>
  </si>
  <si>
    <t>Lunch</t>
  </si>
  <si>
    <t>0020</t>
  </si>
  <si>
    <t>0018</t>
  </si>
  <si>
    <t>Total Instructional Support</t>
  </si>
  <si>
    <t>ADMIN</t>
  </si>
  <si>
    <t>2510</t>
  </si>
  <si>
    <t>OFFICE</t>
  </si>
  <si>
    <t>CUST</t>
  </si>
  <si>
    <t>3100</t>
  </si>
  <si>
    <t>LUNCH</t>
  </si>
  <si>
    <t>Total Support Services</t>
  </si>
  <si>
    <t>SUB</t>
  </si>
  <si>
    <t>BONUS</t>
  </si>
  <si>
    <t>JOB</t>
  </si>
  <si>
    <t>EDIT</t>
  </si>
  <si>
    <t xml:space="preserve">   0200 Employee Benefits - See Salary &amp; Benefits tab</t>
  </si>
  <si>
    <t xml:space="preserve">   Total 0100 Salaries </t>
  </si>
  <si>
    <t xml:space="preserve">   0100 Salaries - See Salary &amp; Benefits Tab</t>
  </si>
  <si>
    <t xml:space="preserve">      0610001 Supplies Expedition</t>
  </si>
  <si>
    <t>0585000 Staff/Student/Volunteer Support</t>
  </si>
  <si>
    <t>from budget tab</t>
  </si>
  <si>
    <t>Bonuses Teachers</t>
  </si>
  <si>
    <t>0250</t>
  </si>
  <si>
    <t>0221</t>
  </si>
  <si>
    <t>0230</t>
  </si>
  <si>
    <t>Life / Disability</t>
  </si>
  <si>
    <t>Annual</t>
  </si>
  <si>
    <t>TAGG per day, Professional Svs 0300, non payroll line</t>
  </si>
  <si>
    <t xml:space="preserve">      1310000 Pre Kindergarten</t>
  </si>
  <si>
    <t xml:space="preserve">      0322000 Prof Education ELL</t>
  </si>
  <si>
    <t>0280000 PERA On behlf STATE to PERA</t>
  </si>
  <si>
    <t xml:space="preserve">      3010000 On Behalf STATE to PERA</t>
  </si>
  <si>
    <t>APPROPRIATION RESOLUTION</t>
  </si>
  <si>
    <t>Be it resolved by the Board of Education of ____________________ School District/BOCES in</t>
  </si>
  <si>
    <t>_______________ County, that the amounts shown in the following schedule be appropriated to</t>
  </si>
  <si>
    <t>(1)</t>
  </si>
  <si>
    <t>The board of education of each school district shall adopt an appropriation resolution at the</t>
  </si>
  <si>
    <t>each fund as specified in the Adopted Budget for the ensuing fiscal year beginning July 1, 2021</t>
  </si>
  <si>
    <t>time it adopts the budget.  The appropriation resolution shall specify the amount of money</t>
  </si>
  <si>
    <t>and ending June 30, 2022</t>
  </si>
  <si>
    <t>appropriated to each fund; except that the operating reserve authorized by section</t>
  </si>
  <si>
    <t>22-44-106(2) shall not be subject to appropriation for the fiscal year covered by the budget,</t>
  </si>
  <si>
    <t>APPROPRIATION</t>
  </si>
  <si>
    <t>and except that the appropriation resolution may, by reference, incorporate the budget as</t>
  </si>
  <si>
    <t>FUND</t>
  </si>
  <si>
    <t>AMOUNT</t>
  </si>
  <si>
    <t>adopted by a board of education for the current fiscal year.</t>
  </si>
  <si>
    <t>General Fund</t>
  </si>
  <si>
    <t>Charter School Fund</t>
  </si>
  <si>
    <t>1a.</t>
  </si>
  <si>
    <t>Insurance Reserve Fund</t>
  </si>
  <si>
    <t>1b.</t>
  </si>
  <si>
    <t>(2)</t>
  </si>
  <si>
    <t>The amounts appropriated to a fund shall not exceed the amount thereof as specified in the</t>
  </si>
  <si>
    <t>Pre-School Fund</t>
  </si>
  <si>
    <t>1c.</t>
  </si>
  <si>
    <t>adopted budget.  22-44-107(2).</t>
  </si>
  <si>
    <t>Special Revenue Funds:</t>
  </si>
  <si>
    <t>Food Service Special Revenue Fund</t>
  </si>
  <si>
    <t>The next column shows a sample appropriation resolution which may be adopted at the time</t>
  </si>
  <si>
    <t>Governmental Designated-Purpose Grants Fund</t>
  </si>
  <si>
    <t>the board of education adopts the budget.  See other appropriation resolutions in the</t>
  </si>
  <si>
    <t>Supplemental Capital Construction, Technology, and Maintenance Fund</t>
  </si>
  <si>
    <t>Financial Policies and Procedures Handbook</t>
  </si>
  <si>
    <t>Pupil Activity Special Revenue Fund</t>
  </si>
  <si>
    <t>Transportation Fund</t>
  </si>
  <si>
    <t>Other Special Revenue Funds, including fund 07</t>
  </si>
  <si>
    <t>Bond Redemption Fund</t>
  </si>
  <si>
    <t>9a.</t>
  </si>
  <si>
    <t>Non-Voter Approved Debt Fund</t>
  </si>
  <si>
    <t>9b.</t>
  </si>
  <si>
    <t>Capital Projects Funds:</t>
  </si>
  <si>
    <t>Building Fund</t>
  </si>
  <si>
    <t>Special Building and Technology Fund</t>
  </si>
  <si>
    <t>Capital Reserve Capital Projects Fund</t>
  </si>
  <si>
    <t>Enterprise Funds:</t>
  </si>
  <si>
    <t>Other Enterprise Funds</t>
  </si>
  <si>
    <t>Internal Service Funds:</t>
  </si>
  <si>
    <t>Risk-Related Activity Fund</t>
  </si>
  <si>
    <t>Other Internal Service Funds</t>
  </si>
  <si>
    <t>Trust/Custodial Funds:</t>
  </si>
  <si>
    <t>Pupil Activity Custodial Fund</t>
  </si>
  <si>
    <t>Trust and Other Custodial Funds</t>
  </si>
  <si>
    <t>Foundation Fund</t>
  </si>
  <si>
    <t>Component Units:</t>
  </si>
  <si>
    <t>TOTAL APPROPRIATION</t>
  </si>
  <si>
    <t>(Signature, President of the Board) in accordance with 22-44-110(4).</t>
  </si>
  <si>
    <t>(Date of the adoption of the budget)</t>
  </si>
  <si>
    <t>(Signature of person attesting to the Board President signature)</t>
  </si>
  <si>
    <t>Program</t>
  </si>
  <si>
    <t>2213</t>
  </si>
  <si>
    <t>2317</t>
  </si>
  <si>
    <t>2315</t>
  </si>
  <si>
    <t>2850</t>
  </si>
  <si>
    <t>2240</t>
  </si>
  <si>
    <t>2300</t>
  </si>
  <si>
    <t>2900</t>
  </si>
  <si>
    <t>2130</t>
  </si>
  <si>
    <t>LaBree, Brent</t>
  </si>
  <si>
    <t>Barbera, Brian</t>
  </si>
  <si>
    <t>Barbera, Nicole</t>
  </si>
  <si>
    <t>Busch, Lisa</t>
  </si>
  <si>
    <t>Hanson, Shannon</t>
  </si>
  <si>
    <t>Kemmler, Nicholas</t>
  </si>
  <si>
    <t xml:space="preserve">Myers, Sandra </t>
  </si>
  <si>
    <t>Neville, Shay</t>
  </si>
  <si>
    <t>Thompson, Kristen</t>
  </si>
  <si>
    <t>Ross, Christi</t>
  </si>
  <si>
    <t>Schmits, Laura</t>
  </si>
  <si>
    <t>Bishop, Robert</t>
  </si>
  <si>
    <t>Guinnane, Kristin</t>
  </si>
  <si>
    <t>Sweeney, Thomas</t>
  </si>
  <si>
    <t>Garcia, Michaela</t>
  </si>
  <si>
    <t>Kahoe, Christine</t>
  </si>
  <si>
    <t xml:space="preserve">Pitchford, Kelly </t>
  </si>
  <si>
    <t xml:space="preserve">Wheeler, JoAnne </t>
  </si>
  <si>
    <t>Knapp, Donald C.</t>
  </si>
  <si>
    <t xml:space="preserve">Pilcher, Sandra </t>
  </si>
  <si>
    <t>Frabbiele, Heather</t>
  </si>
  <si>
    <t>Dunblazier, Julie</t>
  </si>
  <si>
    <t>Carroll, Robert</t>
  </si>
  <si>
    <t>Object
Source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</si>
  <si>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</si>
  <si>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</si>
  <si>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</si>
  <si>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</si>
  <si>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</si>
  <si>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</si>
  <si>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</si>
  <si>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>07
Total Program Reserve Fund</t>
  </si>
  <si>
    <t xml:space="preserve">23
Pupil Activity </t>
  </si>
  <si>
    <t>24
Full-Day Kindergarten Mill Levy Override</t>
  </si>
  <si>
    <t xml:space="preserve">25
Transportation </t>
  </si>
  <si>
    <t>27 Preschool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</si>
  <si>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</si>
  <si>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</si>
  <si>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</si>
  <si>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</si>
  <si>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</si>
  <si>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</si>
  <si>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</si>
  <si>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</si>
  <si>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</si>
  <si>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</si>
  <si>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</si>
  <si>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</si>
  <si>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</si>
  <si>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</si>
  <si>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</si>
  <si>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</si>
  <si>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</si>
  <si>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</si>
  <si>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</si>
  <si>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</si>
  <si>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</si>
  <si>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</si>
  <si>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</si>
  <si>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</si>
  <si>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</si>
  <si>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</si>
  <si>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</si>
  <si>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</si>
  <si>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</si>
  <si>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</si>
  <si>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</si>
  <si>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</si>
  <si>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</si>
  <si>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</si>
  <si>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</si>
  <si>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Instruction - Program 0010 to 2099</t>
  </si>
  <si>
    <t>Salaries</t>
  </si>
  <si>
    <t>0100</t>
  </si>
  <si>
    <t>Employee Benefits, including object 0280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</si>
  <si>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</si>
  <si>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</si>
  <si>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</si>
  <si>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</si>
  <si>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</si>
  <si>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</si>
  <si>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</si>
  <si>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</si>
  <si>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</si>
  <si>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</si>
  <si>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</si>
  <si>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</si>
  <si>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</si>
  <si>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</si>
  <si>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</si>
  <si>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</si>
  <si>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</si>
  <si>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</si>
  <si>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</si>
  <si>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</si>
  <si>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</si>
  <si>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</si>
  <si>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</si>
  <si>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</si>
  <si>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</si>
  <si>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</si>
  <si>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</si>
  <si>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</si>
  <si>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</si>
  <si>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</si>
  <si>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</si>
  <si>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</si>
  <si>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</si>
  <si>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</si>
  <si>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</si>
  <si>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</si>
  <si>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</si>
  <si>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</si>
  <si>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</si>
  <si>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N/A</t>
  </si>
  <si>
    <t>Total Other Uses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</si>
  <si>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</si>
  <si>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</si>
  <si>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</si>
  <si>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</si>
  <si>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</si>
  <si>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</si>
  <si>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</si>
  <si>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</si>
  <si>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</si>
  <si>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</si>
  <si>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</si>
  <si>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</si>
  <si>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</si>
  <si>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(9900)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</si>
  <si>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</si>
  <si>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</si>
  <si>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</si>
  <si>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</si>
  <si>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</si>
  <si>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</si>
  <si>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</si>
  <si>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</si>
  <si>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</si>
  <si>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</si>
  <si>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</si>
  <si>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</si>
  <si>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</si>
  <si>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Total program reserve (9328)</t>
  </si>
  <si>
    <t>6728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</si>
  <si>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</si>
  <si>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</si>
  <si>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</si>
  <si>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</si>
  <si>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</si>
  <si>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</si>
  <si>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</si>
  <si>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</si>
  <si>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</si>
  <si>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</si>
  <si>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</si>
  <si>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</si>
  <si>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</si>
  <si>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</si>
  <si>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</si>
  <si>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</si>
  <si>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0222</t>
  </si>
  <si>
    <t>STD/LTD</t>
  </si>
  <si>
    <t>Notes</t>
  </si>
  <si>
    <t>$20 per student per semester</t>
  </si>
  <si>
    <t>PTO</t>
  </si>
  <si>
    <t xml:space="preserve">      1820000 Before &amp; After Care fees</t>
  </si>
  <si>
    <t xml:space="preserve">      1790000 Pupil Activity Income</t>
  </si>
  <si>
    <t>Band/Choir/Art</t>
  </si>
  <si>
    <t xml:space="preserve">      0442001 Equipment Rental, storage unit</t>
  </si>
  <si>
    <t>Net Income (Loss)</t>
  </si>
  <si>
    <t>building lease offset</t>
  </si>
  <si>
    <t>Special</t>
  </si>
  <si>
    <t>TA</t>
  </si>
  <si>
    <t>Skaggs, Will</t>
  </si>
  <si>
    <t>Life</t>
  </si>
  <si>
    <t>Charter Intercept pmts; Bond monthly pmts</t>
  </si>
  <si>
    <t>Lunch Monitors (5)</t>
  </si>
  <si>
    <t>x</t>
  </si>
  <si>
    <t>B&amp;A</t>
  </si>
  <si>
    <t>Before &amp; After Care (2)</t>
  </si>
  <si>
    <t xml:space="preserve">      1750000 Fund Raisers, school</t>
  </si>
  <si>
    <t xml:space="preserve">      1750001 FUNd Run PTO fundraising</t>
  </si>
  <si>
    <t>4954006 CCBG PS #7575</t>
  </si>
  <si>
    <t>0221403 Medicare Before &amp; After Care</t>
  </si>
  <si>
    <t>0221415 Medicare Teaching Assistants</t>
  </si>
  <si>
    <t>0230201 PERA Teachers</t>
  </si>
  <si>
    <t>0230403 PERA Before &amp; After Care</t>
  </si>
  <si>
    <t>0230414 PERA Lunch Monitor</t>
  </si>
  <si>
    <t>0230415 PERA Teaching Assitants</t>
  </si>
  <si>
    <t>0221414 Medicare Lunch Monitors</t>
  </si>
  <si>
    <t>0221200 Medicare Teachers</t>
  </si>
  <si>
    <t>0221100 Medicare Admin</t>
  </si>
  <si>
    <t>0210100 Life / Disability Admin</t>
  </si>
  <si>
    <t>0210415 Life / Disability Teaching Assistants</t>
  </si>
  <si>
    <t>0210608 Life / Disability Custodial</t>
  </si>
  <si>
    <t>0190222 Bonus Intervention</t>
  </si>
  <si>
    <t>0190100 Bonus Administration</t>
  </si>
  <si>
    <t>0190414 Bonus Lunch Monitor</t>
  </si>
  <si>
    <t>0190608 Bonus Custodian</t>
  </si>
  <si>
    <t>0520000 Insurance Premiums</t>
  </si>
  <si>
    <t>0594001 D49 Purchased Transportation/Nutrition Svs</t>
  </si>
  <si>
    <t>0594000 D49 Buyback SPED</t>
  </si>
  <si>
    <t>0710000 Land &amp; Improvements</t>
  </si>
  <si>
    <t>0721000 Lease Hold Improvements</t>
  </si>
  <si>
    <t>0735000 Non-Capital Equipment</t>
  </si>
  <si>
    <t>0770000 Lease Copier</t>
  </si>
  <si>
    <t>2630</t>
  </si>
  <si>
    <t>0734000 Tech Equipment</t>
  </si>
  <si>
    <t>0810000 Dues &amp; Fees</t>
  </si>
  <si>
    <t>0890000 Preschool Subsidy</t>
  </si>
  <si>
    <t>Aspen Ridge Church $160/mnth</t>
  </si>
  <si>
    <t>0521000 Liability Insurance</t>
  </si>
  <si>
    <t>0525000 Colorado Unemployment</t>
  </si>
  <si>
    <t>0526000 Workers Comp Insurance</t>
  </si>
  <si>
    <t>0530000 Internet Access</t>
  </si>
  <si>
    <t>0530003 Misc Purchased Services</t>
  </si>
  <si>
    <t>0531000 Phone/Fax</t>
  </si>
  <si>
    <t>0533000 Postage</t>
  </si>
  <si>
    <t>0540000 Staff Recruitment</t>
  </si>
  <si>
    <t>0540001 Advertising &amp; Marketing</t>
  </si>
  <si>
    <t>0580000 Travel, Registration &amp; Entrance</t>
  </si>
  <si>
    <t>full year paid in advance</t>
  </si>
  <si>
    <t>pull from salary tab</t>
  </si>
  <si>
    <t>monthly access / stepping fwd annual</t>
  </si>
  <si>
    <t>Bluepoint / Alarm detection</t>
  </si>
  <si>
    <t>0190403 Bonus Before &amp; After care</t>
  </si>
  <si>
    <t>0190-608</t>
  </si>
  <si>
    <t>0190-403</t>
  </si>
  <si>
    <t>0190-414</t>
  </si>
  <si>
    <t>Bonus Before &amp; After Care</t>
  </si>
  <si>
    <t xml:space="preserve">      3954000 READ Grant 3259</t>
  </si>
  <si>
    <t>PPR</t>
  </si>
  <si>
    <t>4954005 ESSER III #9414</t>
  </si>
  <si>
    <t xml:space="preserve">     3954007 ST Air Quality Impr. 3278</t>
  </si>
  <si>
    <t>airfare, hotel, registrations</t>
  </si>
  <si>
    <t>Employer PERA combined</t>
  </si>
  <si>
    <t>Parshall, Amy</t>
  </si>
  <si>
    <t>no substitutes for positions</t>
  </si>
  <si>
    <t>SPED</t>
  </si>
  <si>
    <t>3130</t>
  </si>
  <si>
    <t>1700</t>
  </si>
  <si>
    <t>Bonus, SPED</t>
  </si>
  <si>
    <t>0110202 Salary Teacher SPED</t>
  </si>
  <si>
    <t>based on</t>
  </si>
  <si>
    <t>salary</t>
  </si>
  <si>
    <t>0110238 Salary SLP</t>
  </si>
  <si>
    <t>0210201 Life / Disability Teachers &amp; Specials</t>
  </si>
  <si>
    <t>0221202 Medicare Teachers SPED</t>
  </si>
  <si>
    <t>0210202 Life / Disability Teachers SPED</t>
  </si>
  <si>
    <t>0230202 PERA Teachers SPED</t>
  </si>
  <si>
    <t>0190202 Bonus Teacher SPED</t>
  </si>
  <si>
    <t>0190415 Bonus Teacher Assistants</t>
  </si>
  <si>
    <t>Bonus Intervention</t>
  </si>
  <si>
    <t>pass thru revenue &amp; expenditure AUDIT related</t>
  </si>
  <si>
    <t>0190200 Bonus Teachers</t>
  </si>
  <si>
    <t xml:space="preserve">      0430000 Equipment Repairs &amp; Maintenance</t>
  </si>
  <si>
    <t>FY23includes bonus for SPED</t>
  </si>
  <si>
    <t>Ahrens, Wesley + signing bonus</t>
  </si>
  <si>
    <t>Asher Erin</t>
  </si>
  <si>
    <t>Don's Notes</t>
  </si>
  <si>
    <t>Fitzhugh, Jennifer</t>
  </si>
  <si>
    <t>Croall, Felicia</t>
  </si>
  <si>
    <t>Stokes, Bailey</t>
  </si>
  <si>
    <t>Davis, Amy</t>
  </si>
  <si>
    <t>Hutchinson, Aidan</t>
  </si>
  <si>
    <t>Straub, Vickie</t>
  </si>
  <si>
    <t>SLP</t>
  </si>
  <si>
    <t>Siggers, Jamison</t>
  </si>
  <si>
    <t>Wilkerson, Darci (Shockley)</t>
  </si>
  <si>
    <t>Cassady, Amanda (Troy)</t>
  </si>
  <si>
    <t>Hemenway, Jessica</t>
  </si>
  <si>
    <t>Bonus Admin</t>
  </si>
  <si>
    <t>Bonus Office</t>
  </si>
  <si>
    <t>FY23 ACTUALS</t>
  </si>
  <si>
    <t>28-1910 Bldg Lease Revenue</t>
  </si>
  <si>
    <t>expense shows net amount; shared employee with GPA</t>
  </si>
  <si>
    <t>2150</t>
  </si>
  <si>
    <t>0110-238</t>
  </si>
  <si>
    <t>0221238 Medicare SLP</t>
  </si>
  <si>
    <t>0230238 PERA SLP</t>
  </si>
  <si>
    <t>0251202 Medical/Dental/Vision Teach. SPED</t>
  </si>
  <si>
    <t>0251100 Medical/Dental/Vision Admin</t>
  </si>
  <si>
    <t>0251200 Medical/Dental/Vision Teacher</t>
  </si>
  <si>
    <t>0251608 Medical/Dental/Vision  Custodian</t>
  </si>
  <si>
    <t>0251222 Medical/Dental/Vision Interventionists</t>
  </si>
  <si>
    <t>0251238 Medical/Dental/Vision SLP</t>
  </si>
  <si>
    <t>0190238 Bonus SLP</t>
  </si>
  <si>
    <t>0334000 Consultant OT</t>
  </si>
  <si>
    <t>0334001 Consultant Psych</t>
  </si>
  <si>
    <t>0617000 Supplies SPED</t>
  </si>
  <si>
    <t>0610016 Supplies Tech_Media</t>
  </si>
  <si>
    <t xml:space="preserve"> 0630000 Food supplies, non contract</t>
  </si>
  <si>
    <t>0733000 Furniture &amp; Fixtures</t>
  </si>
  <si>
    <t>28-0313 Bldg Bank service Charge</t>
  </si>
  <si>
    <t>28-0830 Bldg Interest Paid</t>
  </si>
  <si>
    <t>28-0900 Bond Principal Paid</t>
  </si>
  <si>
    <t>28-1510 Interest on Investments</t>
  </si>
  <si>
    <t>Building Corporation</t>
  </si>
  <si>
    <t>Accounting, monthly subscription QBO, bonus</t>
  </si>
  <si>
    <t>Includes licenses for online software</t>
  </si>
  <si>
    <t>Tabor 3% Reserve</t>
  </si>
  <si>
    <t>Total Fund Balance</t>
  </si>
  <si>
    <t>Unassigned Fund Balance</t>
  </si>
  <si>
    <t>Building Corporation Fund Balance Debt Service Restricted</t>
  </si>
  <si>
    <t>0110-202</t>
  </si>
  <si>
    <t>SummitPac</t>
  </si>
  <si>
    <t>HelloHero</t>
  </si>
  <si>
    <t>0334002 Consultant SPED</t>
  </si>
  <si>
    <t>Pezdirtz, Brooke</t>
  </si>
  <si>
    <t>Miller, Amanda</t>
  </si>
  <si>
    <t>PTO FUNd Run</t>
  </si>
  <si>
    <t>4954008 IDEA #4027</t>
  </si>
  <si>
    <t>28-5228 Transfer to Bldg Corp</t>
  </si>
  <si>
    <t>0210416 Life / Disability Teaching Assistants SPED</t>
  </si>
  <si>
    <t>0221236 Medicare Psych</t>
  </si>
  <si>
    <t>0221416 Medicare Teaching Assistants SPED</t>
  </si>
  <si>
    <t>0230416 PERA Teaching Assitants SPED</t>
  </si>
  <si>
    <t>0251416 Medical/Dental/Vision TA SPED</t>
  </si>
  <si>
    <t>add'l expenses in TRAVEL (due to CDE requirements)</t>
  </si>
  <si>
    <t xml:space="preserve">      0611000 Supplies Health</t>
  </si>
  <si>
    <t>Debt service for July 1 bond payment</t>
  </si>
  <si>
    <t>*all teachers ELEM, MS, SPECIALS, PREK</t>
  </si>
  <si>
    <t>Hide columns B, C, D E, F &amp; G if not wanted, it helps JP with estimating Actuals for full year</t>
  </si>
  <si>
    <t>0110-236</t>
  </si>
  <si>
    <t>Provost, Brittani</t>
  </si>
  <si>
    <t>Nurse</t>
  </si>
  <si>
    <t>2160</t>
  </si>
  <si>
    <t>0110236 Salary Psychologist</t>
  </si>
  <si>
    <t>0110233 Salary Nurse</t>
  </si>
  <si>
    <t>FY25, no split with GPA, PPSEL 1 FTE</t>
  </si>
  <si>
    <t>0210233 Life/Disability Nurse</t>
  </si>
  <si>
    <t>2140</t>
  </si>
  <si>
    <t>0210238 Life/Disability SLP</t>
  </si>
  <si>
    <t>2400</t>
  </si>
  <si>
    <t>0210226 Life/Disability Psychologist</t>
  </si>
  <si>
    <t>0221233 Medicare Nurse</t>
  </si>
  <si>
    <t>0221608 Medicare Custodial</t>
  </si>
  <si>
    <t>0230233 PERA Nurse</t>
  </si>
  <si>
    <t>0230236 PERA Psych</t>
  </si>
  <si>
    <t>hourly</t>
  </si>
  <si>
    <t>average hours x $18 / $19</t>
  </si>
  <si>
    <t>average hours x $14.42</t>
  </si>
  <si>
    <t>Masters</t>
  </si>
  <si>
    <t>BA, Masters</t>
  </si>
  <si>
    <t>n/a</t>
  </si>
  <si>
    <t>BA</t>
  </si>
  <si>
    <t>Years Teaching, Spring 2024</t>
  </si>
  <si>
    <t>Start Date with PPSEL</t>
  </si>
  <si>
    <t>2023 07 01</t>
  </si>
  <si>
    <t>2021 07 01</t>
  </si>
  <si>
    <t>2019 07 01</t>
  </si>
  <si>
    <t>2009 07 01</t>
  </si>
  <si>
    <t>2022 07 01</t>
  </si>
  <si>
    <t>2024 07 01</t>
  </si>
  <si>
    <t>2013 07 01</t>
  </si>
  <si>
    <t>0190-200</t>
  </si>
  <si>
    <t>0110-223</t>
  </si>
  <si>
    <t>2011 01 01</t>
  </si>
  <si>
    <t>2005 07 01</t>
  </si>
  <si>
    <t>2004 07 01</t>
  </si>
  <si>
    <t>2016 07 01</t>
  </si>
  <si>
    <t>2018 07 01</t>
  </si>
  <si>
    <t>2011 07 01</t>
  </si>
  <si>
    <t>2023 01 01</t>
  </si>
  <si>
    <t>Substitute Reserve (10 days x 1.5 staff)</t>
  </si>
  <si>
    <t>2020 07 01</t>
  </si>
  <si>
    <t>0110-233</t>
  </si>
  <si>
    <t>Sub-Total Salary Instructional &amp; Support Services</t>
  </si>
  <si>
    <t>Total Salary &amp; Bonus</t>
  </si>
  <si>
    <t>0230222 PERA Intervention</t>
  </si>
  <si>
    <t>0210222 Life/Disability Intervention</t>
  </si>
  <si>
    <t xml:space="preserve"> 0110100 Salaries Admin</t>
  </si>
  <si>
    <t>0110201 Salary Teacher PreK</t>
  </si>
  <si>
    <t xml:space="preserve"> 0110201 Salary Teacher Elem</t>
  </si>
  <si>
    <t xml:space="preserve"> 0110201 Salary Teacher MS</t>
  </si>
  <si>
    <t>0110201 Salary Teacher Specials</t>
  </si>
  <si>
    <t xml:space="preserve">0110222 Salary Intervention </t>
  </si>
  <si>
    <t>0110403 Before &amp; After Care</t>
  </si>
  <si>
    <t>0110414 Lunch Monitor</t>
  </si>
  <si>
    <t>0110415 Salary Teacher Assistants</t>
  </si>
  <si>
    <t>0110416 Salary Teacher Assistants SPED</t>
  </si>
  <si>
    <t>0110608 Salary Custodial</t>
  </si>
  <si>
    <t>3954009 ST ECEA 3130</t>
  </si>
  <si>
    <t>00000</t>
  </si>
  <si>
    <t>background checks $16 parent fee</t>
  </si>
  <si>
    <t>FY25 2nd year of funding</t>
  </si>
  <si>
    <t>updated for FY25</t>
  </si>
  <si>
    <t>FY2024-2025</t>
  </si>
  <si>
    <t>Medical, Vision, Dental, OneMedical</t>
  </si>
  <si>
    <t>0221222 Medicare Intervention</t>
  </si>
  <si>
    <t>0221500 Medicare Admin Support</t>
  </si>
  <si>
    <t>0210500 Life / Disability Admin Support</t>
  </si>
  <si>
    <t xml:space="preserve"> 0110500 Salaries Admin Support</t>
  </si>
  <si>
    <t>0251500 Medical/Dental/Vision Admin Support</t>
  </si>
  <si>
    <t>0190500 Bonus Admin Support</t>
  </si>
  <si>
    <t>Psych</t>
  </si>
  <si>
    <t>included with TA line above</t>
  </si>
  <si>
    <t>signing bonus of $8000 Aug/Dec/May</t>
  </si>
  <si>
    <t>Kliniske, Erin</t>
  </si>
  <si>
    <t>signing bonus of $3000 Aug / Dec</t>
  </si>
  <si>
    <t>hourly/contracted</t>
  </si>
  <si>
    <t>Anderson, Jenny</t>
  </si>
  <si>
    <t>175 teacher working days</t>
  </si>
  <si>
    <t>TAGG per day</t>
  </si>
  <si>
    <t>Bloom, Kendra</t>
  </si>
  <si>
    <t>173 specials / intervention work days</t>
  </si>
  <si>
    <t>para</t>
  </si>
  <si>
    <t>DAYS</t>
  </si>
  <si>
    <t>Bonus Custodian</t>
  </si>
  <si>
    <t>0110-41x</t>
  </si>
  <si>
    <t>Evans, Florence + signing bonus</t>
  </si>
  <si>
    <t>Ingram, Latoya</t>
  </si>
  <si>
    <t>-</t>
  </si>
  <si>
    <t>TBD</t>
  </si>
  <si>
    <t>3 days/week</t>
  </si>
  <si>
    <t>Para</t>
  </si>
  <si>
    <t>0251233 Medical/Dental/Vision Nurse</t>
  </si>
  <si>
    <t>hourly, part time, no benefits</t>
  </si>
  <si>
    <t>1/1/25 - $18.29 min Wage</t>
  </si>
  <si>
    <t>Split with LTA / 50% 50%</t>
  </si>
  <si>
    <t>per Day, no benefits</t>
  </si>
  <si>
    <t>FY25 Revised V3</t>
  </si>
  <si>
    <t>FY25 Adopted</t>
  </si>
  <si>
    <t>FY24 Actuals</t>
  </si>
  <si>
    <t>$60 per student per semester (less FRL) s/b around $35K estimated 60% collection</t>
  </si>
  <si>
    <t>Box tops, king soopers</t>
  </si>
  <si>
    <t>Student Count Equivalent</t>
  </si>
  <si>
    <t>0230500 PERA Admin Support</t>
  </si>
  <si>
    <t>0230100 PERA Admin</t>
  </si>
  <si>
    <t>0230608 PERA Custodian</t>
  </si>
  <si>
    <t>0251415 Medical/Dental/Vision TA</t>
  </si>
  <si>
    <t xml:space="preserve">      0650000 Electronic Media Software_Materials</t>
  </si>
  <si>
    <t>Unspendable</t>
  </si>
  <si>
    <t>5211028 Transfer to Bldg Corp from GF</t>
  </si>
  <si>
    <t>FY24 Balance of Addition using FB, transfer to Bldg Corp</t>
  </si>
  <si>
    <t>Cobra Admin annual fee / Preferred Healthcare</t>
  </si>
  <si>
    <t>Klininski preschool $125 x10 months - Should we do a JE?</t>
  </si>
  <si>
    <t>FY25 Actuals through 9/30/24</t>
  </si>
  <si>
    <t>% of budget through 9/30/24</t>
  </si>
  <si>
    <t>3010001 UPK Preschool Grant #3897</t>
  </si>
  <si>
    <t xml:space="preserve">     3954008 ST Add'l At risk #3235</t>
  </si>
  <si>
    <t xml:space="preserve">      3954006 State Library Grant #3207</t>
  </si>
  <si>
    <t>4954000 FED Impact Aid #4041</t>
  </si>
  <si>
    <t>0190233 Bonus Nurse</t>
  </si>
  <si>
    <t>0190236 Bonus Psych</t>
  </si>
  <si>
    <t>As of 11/01/2024</t>
  </si>
  <si>
    <t>FY25 actual before final october count</t>
  </si>
  <si>
    <t>D49 buyback - FY25 $318/FTE</t>
  </si>
  <si>
    <t>D49 buyback - FY25 $20.30/FTE</t>
  </si>
  <si>
    <t>Column1</t>
  </si>
  <si>
    <t>D49 buyback - FY25 $220.04</t>
  </si>
  <si>
    <t xml:space="preserve">Total available FY25 / 10/1 bonus reimb $196,750 </t>
  </si>
  <si>
    <t>FY25 actual</t>
  </si>
  <si>
    <t>FY25 ??</t>
  </si>
  <si>
    <t>*FY25 add in NURSING SVS split with LTA; this is Nurse &amp; Para $</t>
  </si>
  <si>
    <t>pulled from salary tab (10 days / staff / $295)</t>
  </si>
  <si>
    <t>signing bonus of $1500 Aug / Dec</t>
  </si>
  <si>
    <t>includes true up FY24</t>
  </si>
  <si>
    <t>grant 7575 thru 9.30.24</t>
  </si>
  <si>
    <t>FY2024-25 UNIFORM BUDGET SUMMARY</t>
  </si>
  <si>
    <t>Pikes Peak School of Expenditionary Learning / District 49
District Code: 910 / 1110
REVISED Budget FY24-25
Approved 
Budgeted Pupil Count: 399</t>
  </si>
  <si>
    <t>28
Bldg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</si>
</sst>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7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Helv"/>
    </font>
    <font>
      <sz val="8"/>
      <name val="Helv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name val="Helv"/>
    </font>
    <font>
      <sz val="10"/>
      <color indexed="8"/>
      <name val="Helv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6"/>
      <color indexed="8"/>
      <name val="Aptos"/>
      <family val="2"/>
    </font>
    <font>
      <b/>
      <sz val="11"/>
      <color indexed="8"/>
      <name val="Aptos"/>
      <family val="2"/>
    </font>
    <font>
      <b/>
      <sz val="11"/>
      <name val="Aptos"/>
      <family val="2"/>
    </font>
    <font>
      <b/>
      <i/>
      <sz val="11"/>
      <color theme="4"/>
      <name val="Aptos"/>
      <family val="2"/>
    </font>
    <font>
      <b/>
      <sz val="10"/>
      <name val="Aptos"/>
      <family val="2"/>
    </font>
    <font>
      <b/>
      <i/>
      <sz val="10"/>
      <name val="Aptos"/>
      <family val="2"/>
    </font>
    <font>
      <b/>
      <sz val="12"/>
      <name val="Aptos"/>
      <family val="2"/>
    </font>
    <font>
      <b/>
      <i/>
      <sz val="12"/>
      <name val="Aptos"/>
      <family val="2"/>
    </font>
    <font>
      <b/>
      <i/>
      <sz val="11"/>
      <name val="Aptos"/>
      <family val="2"/>
    </font>
    <font>
      <sz val="10"/>
      <name val="Aptos"/>
      <family val="2"/>
    </font>
    <font>
      <i/>
      <sz val="10"/>
      <name val="Aptos"/>
      <family val="2"/>
    </font>
    <font>
      <sz val="11"/>
      <name val="Aptos"/>
      <family val="2"/>
    </font>
    <font>
      <sz val="11"/>
      <color indexed="8"/>
      <name val="Aptos"/>
      <family val="2"/>
    </font>
    <font>
      <sz val="11"/>
      <color rgb="FFFF0000"/>
      <name val="Aptos"/>
      <family val="2"/>
    </font>
    <font>
      <sz val="10"/>
      <color rgb="FFC00000"/>
      <name val="Aptos"/>
      <family val="2"/>
    </font>
    <font>
      <b/>
      <i/>
      <sz val="10"/>
      <color theme="4"/>
      <name val="Aptos"/>
      <family val="2"/>
    </font>
    <font>
      <i/>
      <sz val="10"/>
      <color rgb="FFFF0000"/>
      <name val="Aptos"/>
      <family val="2"/>
    </font>
    <font>
      <i/>
      <sz val="11"/>
      <name val="Aptos"/>
      <family val="2"/>
    </font>
    <font>
      <b/>
      <i/>
      <sz val="11"/>
      <color indexed="8"/>
      <name val="Aptos"/>
      <family val="2"/>
    </font>
    <font>
      <i/>
      <sz val="10"/>
      <color rgb="FFC00000"/>
      <name val="Aptos"/>
      <family val="2"/>
    </font>
    <font>
      <b/>
      <i/>
      <sz val="11"/>
      <color rgb="FF00B050"/>
      <name val="Aptos"/>
      <family val="2"/>
    </font>
    <font>
      <b/>
      <i/>
      <sz val="11"/>
      <color rgb="FFC00000"/>
      <name val="Aptos"/>
      <family val="2"/>
    </font>
    <font>
      <sz val="11"/>
      <color rgb="FFC00000"/>
      <name val="Aptos"/>
      <family val="2"/>
    </font>
    <font>
      <sz val="11"/>
      <color rgb="FF00B050"/>
      <name val="Aptos"/>
      <family val="2"/>
    </font>
    <font>
      <sz val="11"/>
      <color theme="4"/>
      <name val="Aptos"/>
      <family val="2"/>
    </font>
    <font>
      <b/>
      <i/>
      <sz val="10"/>
      <color rgb="FFFF0000"/>
      <name val="Aptos"/>
      <family val="2"/>
    </font>
    <font>
      <b/>
      <sz val="11"/>
      <color theme="4"/>
      <name val="Aptos"/>
      <family val="2"/>
    </font>
    <font>
      <b/>
      <sz val="10"/>
      <color theme="4"/>
      <name val="Aptos"/>
      <family val="2"/>
    </font>
    <font>
      <sz val="10"/>
      <color theme="4"/>
      <name val="Aptos"/>
      <family val="2"/>
    </font>
    <font>
      <sz val="10"/>
      <color indexed="8"/>
      <name val="Aptos"/>
      <family val="2"/>
    </font>
    <font>
      <b/>
      <i/>
      <u/>
      <sz val="10"/>
      <name val="Aptos"/>
      <family val="2"/>
    </font>
    <font>
      <b/>
      <sz val="11"/>
      <color rgb="FFC00000"/>
      <name val="Aptos"/>
      <family val="2"/>
    </font>
    <font>
      <sz val="14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i/>
      <sz val="11"/>
      <color rgb="FF0070C0"/>
      <name val="Aptos Narrow"/>
      <family val="2"/>
    </font>
    <font>
      <b/>
      <i/>
      <sz val="11"/>
      <color theme="4"/>
      <name val="Aptos Narrow"/>
      <family val="2"/>
    </font>
    <font>
      <b/>
      <sz val="11"/>
      <color rgb="FF0070C0"/>
      <name val="Aptos Narrow"/>
      <family val="2"/>
    </font>
    <font>
      <b/>
      <i/>
      <sz val="11"/>
      <color rgb="FFC00000"/>
      <name val="Aptos Narrow"/>
      <family val="2"/>
    </font>
    <font>
      <sz val="11"/>
      <color rgb="FFC00000"/>
      <name val="Aptos Narrow"/>
      <family val="2"/>
    </font>
    <font>
      <i/>
      <sz val="11"/>
      <color rgb="FFC00000"/>
      <name val="Aptos Narrow"/>
      <family val="2"/>
    </font>
    <font>
      <i/>
      <sz val="11"/>
      <name val="Aptos Narrow"/>
      <family val="2"/>
    </font>
    <font>
      <sz val="11"/>
      <color rgb="FF00B050"/>
      <name val="Aptos Narrow"/>
      <family val="2"/>
    </font>
    <font>
      <sz val="11"/>
      <color theme="4"/>
      <name val="Aptos Narrow"/>
      <family val="2"/>
    </font>
    <font>
      <i/>
      <sz val="11"/>
      <color theme="4"/>
      <name val="Aptos Narrow"/>
      <family val="2"/>
    </font>
    <font>
      <b/>
      <sz val="11"/>
      <color theme="4"/>
      <name val="Aptos Narrow"/>
      <family val="2"/>
    </font>
    <font>
      <i/>
      <sz val="14"/>
      <name val="Aptos Narrow"/>
      <family val="2"/>
    </font>
    <font>
      <i/>
      <sz val="12"/>
      <name val="Aptos Narrow"/>
      <family val="2"/>
    </font>
    <font>
      <sz val="12"/>
      <name val="Aptos Narrow"/>
      <family val="2"/>
    </font>
    <font>
      <i/>
      <sz val="11"/>
      <color rgb="FF0070C0"/>
      <name val="Aptos Narrow"/>
      <family val="2"/>
    </font>
    <font>
      <sz val="8"/>
      <name val="Calibri"/>
      <family val="2"/>
      <scheme val="minor"/>
    </font>
    <font>
      <sz val="10"/>
      <color rgb="FFFF0000"/>
      <name val="Aptos"/>
      <family val="2"/>
    </font>
    <font>
      <b/>
      <i/>
      <sz val="12"/>
      <color rgb="FFFF0000"/>
      <name val="Aptos"/>
      <family val="2"/>
    </font>
    <font>
      <b/>
      <sz val="12"/>
      <color rgb="FFFF0000"/>
      <name val="Aptos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9" fillId="0" borderId="0"/>
  </cellStyleXfs>
  <cellXfs count="587">
    <xf numFmtId="0" fontId="0" fillId="0" borderId="0" xfId="0"/>
    <xf numFmtId="37" fontId="9" fillId="0" borderId="0" xfId="4"/>
    <xf numFmtId="37" fontId="11" fillId="0" borderId="0" xfId="4" applyFont="1" applyAlignment="1">
      <alignment horizontal="right"/>
    </xf>
    <xf numFmtId="37" fontId="11" fillId="0" borderId="0" xfId="4" applyFont="1" applyAlignment="1">
      <alignment horizontal="left"/>
    </xf>
    <xf numFmtId="37" fontId="5" fillId="0" borderId="0" xfId="4" applyFont="1" applyAlignment="1">
      <alignment horizontal="left"/>
    </xf>
    <xf numFmtId="37" fontId="5" fillId="0" borderId="0" xfId="4" applyFont="1" applyAlignment="1">
      <alignment horizontal="right"/>
    </xf>
    <xf numFmtId="37" fontId="5" fillId="0" borderId="0" xfId="4" applyFont="1"/>
    <xf numFmtId="37" fontId="8" fillId="0" borderId="0" xfId="4" applyFont="1"/>
    <xf numFmtId="37" fontId="12" fillId="0" borderId="0" xfId="4" applyFont="1" applyAlignment="1">
      <alignment horizontal="left"/>
    </xf>
    <xf numFmtId="37" fontId="12" fillId="0" borderId="2" xfId="4" applyFont="1" applyBorder="1" applyAlignment="1">
      <alignment horizontal="left"/>
    </xf>
    <xf numFmtId="37" fontId="8" fillId="0" borderId="2" xfId="4" applyFont="1" applyBorder="1"/>
    <xf numFmtId="37" fontId="8" fillId="0" borderId="0" xfId="4" quotePrefix="1" applyFont="1" applyAlignment="1">
      <alignment horizontal="left"/>
    </xf>
    <xf numFmtId="37" fontId="13" fillId="0" borderId="0" xfId="4" applyFont="1"/>
    <xf numFmtId="37" fontId="8" fillId="0" borderId="0" xfId="4" applyFont="1" applyAlignment="1">
      <alignment horizontal="left"/>
    </xf>
    <xf numFmtId="37" fontId="8" fillId="0" borderId="0" xfId="4" applyFont="1" applyAlignment="1">
      <alignment horizontal="right"/>
    </xf>
    <xf numFmtId="37" fontId="8" fillId="0" borderId="12" xfId="4" applyFont="1" applyBorder="1"/>
    <xf numFmtId="37" fontId="8" fillId="0" borderId="1" xfId="4" applyFont="1" applyBorder="1"/>
    <xf numFmtId="0" fontId="14" fillId="0" borderId="0" xfId="0" applyFont="1" applyAlignment="1">
      <alignment vertical="top" wrapText="1"/>
    </xf>
    <xf numFmtId="49" fontId="14" fillId="0" borderId="0" xfId="0" applyNumberFormat="1" applyFont="1" applyAlignment="1">
      <alignment horizontal="right" wrapText="1"/>
    </xf>
    <xf numFmtId="41" fontId="5" fillId="0" borderId="0" xfId="0" applyNumberFormat="1" applyFont="1"/>
    <xf numFmtId="0" fontId="8" fillId="0" borderId="0" xfId="0" applyFont="1"/>
    <xf numFmtId="49" fontId="14" fillId="0" borderId="11" xfId="0" applyNumberFormat="1" applyFont="1" applyBorder="1" applyAlignment="1" applyProtection="1">
      <alignment horizontal="center" wrapText="1"/>
      <protection locked="0"/>
    </xf>
    <xf numFmtId="41" fontId="14" fillId="0" borderId="14" xfId="0" applyNumberFormat="1" applyFont="1" applyBorder="1" applyAlignment="1">
      <alignment horizontal="center" wrapText="1"/>
    </xf>
    <xf numFmtId="41" fontId="14" fillId="0" borderId="15" xfId="0" applyNumberFormat="1" applyFont="1" applyBorder="1" applyAlignment="1">
      <alignment horizontal="center" wrapText="1"/>
    </xf>
    <xf numFmtId="41" fontId="14" fillId="0" borderId="16" xfId="0" applyNumberFormat="1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5" xfId="0" applyFont="1" applyBorder="1" applyAlignment="1">
      <alignment vertical="top" wrapText="1"/>
    </xf>
    <xf numFmtId="49" fontId="14" fillId="0" borderId="0" xfId="0" applyNumberFormat="1" applyFont="1" applyAlignment="1">
      <alignment wrapText="1"/>
    </xf>
    <xf numFmtId="41" fontId="5" fillId="0" borderId="17" xfId="0" applyNumberFormat="1" applyFont="1" applyBorder="1" applyProtection="1">
      <protection locked="0"/>
    </xf>
    <xf numFmtId="41" fontId="5" fillId="0" borderId="18" xfId="0" applyNumberFormat="1" applyFont="1" applyBorder="1" applyProtection="1">
      <protection locked="0"/>
    </xf>
    <xf numFmtId="41" fontId="5" fillId="0" borderId="19" xfId="0" applyNumberFormat="1" applyFont="1" applyBorder="1"/>
    <xf numFmtId="49" fontId="14" fillId="0" borderId="0" xfId="0" applyNumberFormat="1" applyFont="1" applyAlignment="1">
      <alignment horizontal="center" wrapText="1"/>
    </xf>
    <xf numFmtId="41" fontId="14" fillId="0" borderId="17" xfId="0" applyNumberFormat="1" applyFont="1" applyBorder="1" applyAlignment="1" applyProtection="1">
      <alignment horizontal="center" wrapText="1"/>
      <protection locked="0"/>
    </xf>
    <xf numFmtId="41" fontId="14" fillId="0" borderId="18" xfId="0" applyNumberFormat="1" applyFont="1" applyBorder="1" applyAlignment="1" applyProtection="1">
      <alignment horizontal="center" wrapText="1"/>
      <protection locked="0"/>
    </xf>
    <xf numFmtId="41" fontId="14" fillId="0" borderId="19" xfId="0" applyNumberFormat="1" applyFont="1" applyBorder="1" applyAlignment="1">
      <alignment horizontal="center" wrapText="1"/>
    </xf>
    <xf numFmtId="0" fontId="5" fillId="0" borderId="0" xfId="0" applyFont="1"/>
    <xf numFmtId="0" fontId="5" fillId="0" borderId="5" xfId="0" applyFont="1" applyBorder="1" applyAlignment="1">
      <alignment horizontal="left" vertical="top" wrapText="1" indent="1"/>
    </xf>
    <xf numFmtId="49" fontId="5" fillId="0" borderId="0" xfId="0" applyNumberFormat="1" applyFont="1" applyAlignment="1">
      <alignment horizontal="right" wrapText="1"/>
    </xf>
    <xf numFmtId="0" fontId="14" fillId="2" borderId="20" xfId="0" applyFont="1" applyFill="1" applyBorder="1" applyAlignment="1">
      <alignment vertical="top" wrapText="1"/>
    </xf>
    <xf numFmtId="49" fontId="14" fillId="2" borderId="21" xfId="0" applyNumberFormat="1" applyFont="1" applyFill="1" applyBorder="1" applyAlignment="1">
      <alignment horizontal="right" wrapText="1"/>
    </xf>
    <xf numFmtId="41" fontId="5" fillId="2" borderId="22" xfId="0" applyNumberFormat="1" applyFont="1" applyFill="1" applyBorder="1"/>
    <xf numFmtId="41" fontId="5" fillId="2" borderId="23" xfId="0" applyNumberFormat="1" applyFont="1" applyFill="1" applyBorder="1"/>
    <xf numFmtId="41" fontId="5" fillId="2" borderId="24" xfId="0" applyNumberFormat="1" applyFont="1" applyFill="1" applyBorder="1"/>
    <xf numFmtId="41" fontId="5" fillId="0" borderId="17" xfId="0" applyNumberFormat="1" applyFont="1" applyBorder="1"/>
    <xf numFmtId="41" fontId="5" fillId="0" borderId="18" xfId="0" applyNumberFormat="1" applyFont="1" applyBorder="1"/>
    <xf numFmtId="0" fontId="5" fillId="0" borderId="5" xfId="0" applyFont="1" applyBorder="1" applyAlignment="1">
      <alignment vertical="top" wrapText="1"/>
    </xf>
    <xf numFmtId="41" fontId="4" fillId="0" borderId="17" xfId="0" applyNumberFormat="1" applyFont="1" applyBorder="1" applyProtection="1">
      <protection locked="0"/>
    </xf>
    <xf numFmtId="41" fontId="4" fillId="0" borderId="18" xfId="0" applyNumberFormat="1" applyFont="1" applyBorder="1" applyProtection="1">
      <protection locked="0"/>
    </xf>
    <xf numFmtId="0" fontId="14" fillId="2" borderId="20" xfId="0" applyFont="1" applyFill="1" applyBorder="1" applyAlignment="1">
      <alignment horizontal="left" vertical="top" wrapText="1" indent="2"/>
    </xf>
    <xf numFmtId="41" fontId="15" fillId="0" borderId="18" xfId="0" applyNumberFormat="1" applyFont="1" applyBorder="1" applyProtection="1">
      <protection locked="0"/>
    </xf>
    <xf numFmtId="41" fontId="5" fillId="0" borderId="17" xfId="0" applyNumberFormat="1" applyFont="1" applyBorder="1" applyAlignment="1" applyProtection="1">
      <alignment horizontal="right"/>
      <protection locked="0"/>
    </xf>
    <xf numFmtId="41" fontId="5" fillId="0" borderId="18" xfId="0" applyNumberFormat="1" applyFont="1" applyBorder="1" applyAlignment="1" applyProtection="1">
      <alignment horizontal="right"/>
      <protection locked="0"/>
    </xf>
    <xf numFmtId="41" fontId="5" fillId="0" borderId="19" xfId="0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41" fontId="5" fillId="0" borderId="0" xfId="0" applyNumberFormat="1" applyFont="1" applyAlignment="1">
      <alignment horizontal="center"/>
    </xf>
    <xf numFmtId="0" fontId="14" fillId="4" borderId="13" xfId="0" applyFont="1" applyFill="1" applyBorder="1" applyAlignment="1" applyProtection="1">
      <alignment vertical="center" wrapText="1"/>
      <protection locked="0"/>
    </xf>
    <xf numFmtId="41" fontId="5" fillId="4" borderId="18" xfId="0" applyNumberFormat="1" applyFont="1" applyFill="1" applyBorder="1" applyProtection="1">
      <protection locked="0"/>
    </xf>
    <xf numFmtId="43" fontId="5" fillId="0" borderId="0" xfId="3" applyFont="1"/>
    <xf numFmtId="43" fontId="8" fillId="0" borderId="0" xfId="3" applyFont="1"/>
    <xf numFmtId="43" fontId="14" fillId="0" borderId="0" xfId="3" applyFont="1" applyAlignment="1">
      <alignment wrapText="1"/>
    </xf>
    <xf numFmtId="43" fontId="5" fillId="0" borderId="0" xfId="0" applyNumberFormat="1" applyFont="1"/>
    <xf numFmtId="0" fontId="5" fillId="0" borderId="5" xfId="0" applyFont="1" applyBorder="1" applyAlignment="1">
      <alignment vertical="top"/>
    </xf>
    <xf numFmtId="0" fontId="16" fillId="0" borderId="0" xfId="0" applyFont="1"/>
    <xf numFmtId="0" fontId="18" fillId="0" borderId="0" xfId="0" applyFont="1"/>
    <xf numFmtId="0" fontId="17" fillId="0" borderId="0" xfId="0" applyFont="1"/>
    <xf numFmtId="0" fontId="20" fillId="0" borderId="0" xfId="0" applyFont="1" applyAlignment="1">
      <alignment horizontal="right"/>
    </xf>
    <xf numFmtId="44" fontId="21" fillId="0" borderId="27" xfId="1" applyFont="1" applyBorder="1" applyAlignment="1">
      <alignment horizontal="center"/>
    </xf>
    <xf numFmtId="0" fontId="22" fillId="0" borderId="0" xfId="0" applyFont="1" applyAlignment="1">
      <alignment horizontal="right" wrapText="1"/>
    </xf>
    <xf numFmtId="0" fontId="22" fillId="0" borderId="0" xfId="0" applyFont="1" applyAlignment="1">
      <alignment horizontal="right"/>
    </xf>
    <xf numFmtId="0" fontId="23" fillId="0" borderId="28" xfId="0" applyFont="1" applyBorder="1" applyAlignment="1">
      <alignment horizontal="center"/>
    </xf>
    <xf numFmtId="0" fontId="22" fillId="0" borderId="0" xfId="0" applyFont="1"/>
    <xf numFmtId="0" fontId="23" fillId="0" borderId="27" xfId="0" applyFont="1" applyBorder="1" applyAlignment="1">
      <alignment horizontal="center"/>
    </xf>
    <xf numFmtId="0" fontId="20" fillId="0" borderId="0" xfId="0" applyFont="1" applyAlignment="1">
      <alignment horizontal="right" wrapText="1"/>
    </xf>
    <xf numFmtId="9" fontId="21" fillId="0" borderId="27" xfId="2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27" xfId="0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164" fontId="25" fillId="0" borderId="32" xfId="1" applyNumberFormat="1" applyFont="1" applyBorder="1" applyAlignment="1"/>
    <xf numFmtId="164" fontId="26" fillId="0" borderId="27" xfId="1" applyNumberFormat="1" applyFont="1" applyBorder="1" applyAlignment="1">
      <alignment horizontal="center"/>
    </xf>
    <xf numFmtId="164" fontId="29" fillId="0" borderId="0" xfId="0" applyNumberFormat="1" applyFont="1"/>
    <xf numFmtId="0" fontId="28" fillId="0" borderId="0" xfId="0" applyFont="1"/>
    <xf numFmtId="164" fontId="27" fillId="0" borderId="0" xfId="0" applyNumberFormat="1" applyFont="1"/>
    <xf numFmtId="164" fontId="25" fillId="0" borderId="32" xfId="1" applyNumberFormat="1" applyFont="1" applyFill="1" applyBorder="1" applyAlignment="1"/>
    <xf numFmtId="0" fontId="25" fillId="0" borderId="2" xfId="0" applyFont="1" applyBorder="1" applyAlignment="1">
      <alignment wrapText="1"/>
    </xf>
    <xf numFmtId="164" fontId="25" fillId="0" borderId="31" xfId="1" applyNumberFormat="1" applyFont="1" applyBorder="1" applyAlignment="1"/>
    <xf numFmtId="164" fontId="26" fillId="0" borderId="26" xfId="1" applyNumberFormat="1" applyFont="1" applyBorder="1" applyAlignment="1">
      <alignment horizontal="center"/>
    </xf>
    <xf numFmtId="164" fontId="27" fillId="0" borderId="2" xfId="0" applyNumberFormat="1" applyFont="1" applyBorder="1"/>
    <xf numFmtId="164" fontId="20" fillId="8" borderId="0" xfId="1" applyNumberFormat="1" applyFont="1" applyFill="1" applyAlignment="1">
      <alignment wrapText="1"/>
    </xf>
    <xf numFmtId="164" fontId="20" fillId="8" borderId="32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164" fontId="17" fillId="0" borderId="0" xfId="1" applyNumberFormat="1" applyFont="1"/>
    <xf numFmtId="0" fontId="25" fillId="0" borderId="32" xfId="0" applyFont="1" applyBorder="1"/>
    <xf numFmtId="0" fontId="25" fillId="3" borderId="0" xfId="0" applyFont="1" applyFill="1" applyAlignment="1">
      <alignment wrapText="1"/>
    </xf>
    <xf numFmtId="164" fontId="25" fillId="3" borderId="32" xfId="1" applyNumberFormat="1" applyFont="1" applyFill="1" applyBorder="1" applyAlignment="1"/>
    <xf numFmtId="164" fontId="26" fillId="3" borderId="27" xfId="1" applyNumberFormat="1" applyFont="1" applyFill="1" applyBorder="1" applyAlignment="1">
      <alignment horizontal="center"/>
    </xf>
    <xf numFmtId="0" fontId="25" fillId="0" borderId="0" xfId="0" applyFont="1" applyAlignment="1">
      <alignment horizontal="left" wrapText="1" indent="1"/>
    </xf>
    <xf numFmtId="0" fontId="27" fillId="0" borderId="0" xfId="0" applyFont="1"/>
    <xf numFmtId="0" fontId="25" fillId="0" borderId="0" xfId="0" applyFont="1" applyAlignment="1">
      <alignment horizontal="left" wrapText="1" indent="2"/>
    </xf>
    <xf numFmtId="0" fontId="29" fillId="0" borderId="0" xfId="0" applyFont="1"/>
    <xf numFmtId="164" fontId="25" fillId="0" borderId="27" xfId="1" applyNumberFormat="1" applyFont="1" applyBorder="1" applyAlignment="1">
      <alignment horizontal="center"/>
    </xf>
    <xf numFmtId="0" fontId="25" fillId="0" borderId="2" xfId="0" applyFont="1" applyBorder="1" applyAlignment="1">
      <alignment horizontal="left" wrapText="1" indent="2"/>
    </xf>
    <xf numFmtId="0" fontId="20" fillId="8" borderId="0" xfId="0" applyFont="1" applyFill="1" applyAlignment="1">
      <alignment wrapText="1"/>
    </xf>
    <xf numFmtId="164" fontId="20" fillId="8" borderId="32" xfId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right"/>
    </xf>
    <xf numFmtId="164" fontId="18" fillId="0" borderId="2" xfId="0" applyNumberFormat="1" applyFont="1" applyBorder="1"/>
    <xf numFmtId="0" fontId="18" fillId="8" borderId="11" xfId="0" applyFont="1" applyFill="1" applyBorder="1" applyAlignment="1">
      <alignment wrapText="1"/>
    </xf>
    <xf numFmtId="164" fontId="18" fillId="8" borderId="33" xfId="1" applyNumberFormat="1" applyFont="1" applyFill="1" applyBorder="1" applyAlignment="1">
      <alignment horizontal="right"/>
    </xf>
    <xf numFmtId="164" fontId="32" fillId="0" borderId="27" xfId="1" applyNumberFormat="1" applyFont="1" applyFill="1" applyBorder="1" applyAlignment="1">
      <alignment horizontal="center"/>
    </xf>
    <xf numFmtId="0" fontId="21" fillId="0" borderId="0" xfId="0" applyFont="1" applyAlignment="1">
      <alignment wrapText="1"/>
    </xf>
    <xf numFmtId="164" fontId="26" fillId="0" borderId="27" xfId="1" applyNumberFormat="1" applyFont="1" applyFill="1" applyBorder="1" applyAlignment="1"/>
    <xf numFmtId="164" fontId="26" fillId="0" borderId="32" xfId="1" applyNumberFormat="1" applyFont="1" applyFill="1" applyBorder="1" applyAlignment="1"/>
    <xf numFmtId="164" fontId="26" fillId="0" borderId="27" xfId="1" applyNumberFormat="1" applyFont="1" applyFill="1" applyBorder="1" applyAlignment="1">
      <alignment horizontal="center"/>
    </xf>
    <xf numFmtId="164" fontId="33" fillId="0" borderId="32" xfId="1" applyNumberFormat="1" applyFont="1" applyFill="1" applyBorder="1" applyAlignment="1"/>
    <xf numFmtId="164" fontId="24" fillId="0" borderId="0" xfId="0" applyNumberFormat="1" applyFont="1"/>
    <xf numFmtId="0" fontId="34" fillId="0" borderId="0" xfId="0" applyFont="1"/>
    <xf numFmtId="164" fontId="26" fillId="5" borderId="32" xfId="1" applyNumberFormat="1" applyFont="1" applyFill="1" applyBorder="1" applyAlignment="1"/>
    <xf numFmtId="164" fontId="26" fillId="5" borderId="27" xfId="1" applyNumberFormat="1" applyFont="1" applyFill="1" applyBorder="1" applyAlignment="1">
      <alignment horizontal="center"/>
    </xf>
    <xf numFmtId="0" fontId="24" fillId="0" borderId="0" xfId="0" applyFont="1"/>
    <xf numFmtId="164" fontId="26" fillId="0" borderId="31" xfId="1" applyNumberFormat="1" applyFont="1" applyFill="1" applyBorder="1" applyAlignment="1"/>
    <xf numFmtId="164" fontId="26" fillId="0" borderId="26" xfId="1" applyNumberFormat="1" applyFont="1" applyFill="1" applyBorder="1" applyAlignment="1">
      <alignment horizontal="center"/>
    </xf>
    <xf numFmtId="164" fontId="33" fillId="0" borderId="31" xfId="1" applyNumberFormat="1" applyFont="1" applyFill="1" applyBorder="1" applyAlignment="1"/>
    <xf numFmtId="164" fontId="24" fillId="0" borderId="2" xfId="0" applyNumberFormat="1" applyFont="1" applyBorder="1"/>
    <xf numFmtId="164" fontId="36" fillId="0" borderId="0" xfId="0" applyNumberFormat="1" applyFont="1"/>
    <xf numFmtId="164" fontId="26" fillId="0" borderId="34" xfId="1" applyNumberFormat="1" applyFont="1" applyFill="1" applyBorder="1" applyAlignment="1"/>
    <xf numFmtId="164" fontId="26" fillId="0" borderId="28" xfId="1" applyNumberFormat="1" applyFont="1" applyFill="1" applyBorder="1" applyAlignment="1">
      <alignment horizontal="center"/>
    </xf>
    <xf numFmtId="164" fontId="24" fillId="0" borderId="1" xfId="0" applyNumberFormat="1" applyFont="1" applyBorder="1"/>
    <xf numFmtId="164" fontId="37" fillId="0" borderId="0" xfId="0" applyNumberFormat="1" applyFont="1"/>
    <xf numFmtId="0" fontId="38" fillId="0" borderId="0" xfId="0" applyFont="1"/>
    <xf numFmtId="164" fontId="26" fillId="0" borderId="32" xfId="1" quotePrefix="1" applyNumberFormat="1" applyFont="1" applyFill="1" applyBorder="1" applyAlignment="1"/>
    <xf numFmtId="0" fontId="37" fillId="0" borderId="0" xfId="0" applyFont="1"/>
    <xf numFmtId="164" fontId="38" fillId="0" borderId="0" xfId="0" applyNumberFormat="1" applyFont="1"/>
    <xf numFmtId="164" fontId="39" fillId="0" borderId="0" xfId="0" applyNumberFormat="1" applyFont="1"/>
    <xf numFmtId="0" fontId="24" fillId="8" borderId="0" xfId="0" applyFont="1" applyFill="1" applyAlignment="1">
      <alignment wrapText="1"/>
    </xf>
    <xf numFmtId="164" fontId="24" fillId="8" borderId="32" xfId="1" applyNumberFormat="1" applyFont="1" applyFill="1" applyBorder="1" applyAlignment="1">
      <alignment horizontal="right"/>
    </xf>
    <xf numFmtId="164" fontId="18" fillId="0" borderId="0" xfId="0" applyNumberFormat="1" applyFont="1"/>
    <xf numFmtId="0" fontId="25" fillId="4" borderId="0" xfId="0" applyFont="1" applyFill="1" applyAlignment="1">
      <alignment wrapText="1"/>
    </xf>
    <xf numFmtId="164" fontId="25" fillId="4" borderId="32" xfId="1" applyNumberFormat="1" applyFont="1" applyFill="1" applyBorder="1" applyAlignment="1"/>
    <xf numFmtId="164" fontId="26" fillId="4" borderId="27" xfId="1" applyNumberFormat="1" applyFont="1" applyFill="1" applyBorder="1" applyAlignment="1">
      <alignment horizontal="center"/>
    </xf>
    <xf numFmtId="0" fontId="25" fillId="7" borderId="0" xfId="0" applyFont="1" applyFill="1" applyAlignment="1">
      <alignment horizontal="left" wrapText="1" indent="1"/>
    </xf>
    <xf numFmtId="164" fontId="25" fillId="7" borderId="32" xfId="1" applyNumberFormat="1" applyFont="1" applyFill="1" applyBorder="1" applyAlignment="1"/>
    <xf numFmtId="164" fontId="26" fillId="7" borderId="27" xfId="1" applyNumberFormat="1" applyFont="1" applyFill="1" applyBorder="1" applyAlignment="1">
      <alignment horizontal="center"/>
    </xf>
    <xf numFmtId="0" fontId="40" fillId="0" borderId="0" xfId="0" applyFont="1"/>
    <xf numFmtId="0" fontId="25" fillId="5" borderId="0" xfId="0" applyFont="1" applyFill="1" applyAlignment="1">
      <alignment wrapText="1"/>
    </xf>
    <xf numFmtId="164" fontId="25" fillId="5" borderId="32" xfId="1" applyNumberFormat="1" applyFont="1" applyFill="1" applyBorder="1" applyAlignment="1"/>
    <xf numFmtId="0" fontId="25" fillId="5" borderId="2" xfId="0" applyFont="1" applyFill="1" applyBorder="1" applyAlignment="1">
      <alignment wrapText="1"/>
    </xf>
    <xf numFmtId="164" fontId="25" fillId="5" borderId="31" xfId="1" applyNumberFormat="1" applyFont="1" applyFill="1" applyBorder="1" applyAlignment="1"/>
    <xf numFmtId="164" fontId="26" fillId="5" borderId="26" xfId="1" applyNumberFormat="1" applyFont="1" applyFill="1" applyBorder="1" applyAlignment="1">
      <alignment horizontal="center"/>
    </xf>
    <xf numFmtId="0" fontId="25" fillId="4" borderId="0" xfId="0" applyFont="1" applyFill="1" applyAlignment="1">
      <alignment horizontal="left" wrapText="1" indent="2"/>
    </xf>
    <xf numFmtId="0" fontId="25" fillId="0" borderId="0" xfId="0" quotePrefix="1" applyFont="1" applyAlignment="1">
      <alignment horizontal="left" wrapText="1" indent="2"/>
    </xf>
    <xf numFmtId="164" fontId="25" fillId="0" borderId="32" xfId="1" quotePrefix="1" applyNumberFormat="1" applyFont="1" applyBorder="1" applyAlignment="1"/>
    <xf numFmtId="164" fontId="26" fillId="0" borderId="27" xfId="1" quotePrefix="1" applyNumberFormat="1" applyFont="1" applyBorder="1" applyAlignment="1">
      <alignment horizontal="center"/>
    </xf>
    <xf numFmtId="0" fontId="25" fillId="5" borderId="2" xfId="0" quotePrefix="1" applyFont="1" applyFill="1" applyBorder="1" applyAlignment="1">
      <alignment horizontal="left" wrapText="1" indent="2"/>
    </xf>
    <xf numFmtId="164" fontId="25" fillId="5" borderId="31" xfId="1" quotePrefix="1" applyNumberFormat="1" applyFont="1" applyFill="1" applyBorder="1" applyAlignment="1"/>
    <xf numFmtId="164" fontId="27" fillId="0" borderId="0" xfId="1" applyNumberFormat="1" applyFont="1" applyFill="1"/>
    <xf numFmtId="0" fontId="25" fillId="0" borderId="0" xfId="0" applyFont="1" applyAlignment="1">
      <alignment horizontal="left" indent="1"/>
    </xf>
    <xf numFmtId="164" fontId="27" fillId="0" borderId="2" xfId="1" applyNumberFormat="1" applyFont="1" applyFill="1" applyBorder="1"/>
    <xf numFmtId="164" fontId="24" fillId="8" borderId="32" xfId="1" applyNumberFormat="1" applyFont="1" applyFill="1" applyBorder="1" applyAlignment="1">
      <alignment horizontal="left"/>
    </xf>
    <xf numFmtId="0" fontId="24" fillId="8" borderId="11" xfId="0" applyFont="1" applyFill="1" applyBorder="1" applyAlignment="1">
      <alignment wrapText="1"/>
    </xf>
    <xf numFmtId="164" fontId="24" fillId="8" borderId="33" xfId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left"/>
    </xf>
    <xf numFmtId="0" fontId="20" fillId="0" borderId="0" xfId="0" applyFont="1" applyAlignment="1">
      <alignment wrapText="1"/>
    </xf>
    <xf numFmtId="164" fontId="20" fillId="0" borderId="32" xfId="1" applyNumberFormat="1" applyFont="1" applyFill="1" applyBorder="1" applyAlignment="1"/>
    <xf numFmtId="164" fontId="41" fillId="0" borderId="27" xfId="1" applyNumberFormat="1" applyFont="1" applyFill="1" applyBorder="1" applyAlignment="1"/>
    <xf numFmtId="164" fontId="32" fillId="0" borderId="27" xfId="0" applyNumberFormat="1" applyFont="1" applyBorder="1" applyAlignment="1">
      <alignment horizontal="center"/>
    </xf>
    <xf numFmtId="0" fontId="25" fillId="0" borderId="35" xfId="0" applyFont="1" applyBorder="1"/>
    <xf numFmtId="0" fontId="42" fillId="0" borderId="9" xfId="0" applyFont="1" applyBorder="1"/>
    <xf numFmtId="0" fontId="20" fillId="0" borderId="5" xfId="0" applyFont="1" applyBorder="1" applyAlignment="1">
      <alignment horizontal="right"/>
    </xf>
    <xf numFmtId="0" fontId="42" fillId="0" borderId="0" xfId="0" applyFont="1"/>
    <xf numFmtId="164" fontId="42" fillId="0" borderId="6" xfId="0" applyNumberFormat="1" applyFont="1" applyBorder="1"/>
    <xf numFmtId="0" fontId="42" fillId="0" borderId="6" xfId="0" applyFont="1" applyBorder="1"/>
    <xf numFmtId="164" fontId="31" fillId="0" borderId="30" xfId="1" applyNumberFormat="1" applyFont="1" applyBorder="1" applyAlignment="1">
      <alignment horizontal="center"/>
    </xf>
    <xf numFmtId="0" fontId="43" fillId="0" borderId="7" xfId="0" applyFont="1" applyBorder="1" applyAlignment="1">
      <alignment horizontal="right"/>
    </xf>
    <xf numFmtId="0" fontId="44" fillId="0" borderId="31" xfId="0" applyFont="1" applyBorder="1"/>
    <xf numFmtId="164" fontId="32" fillId="0" borderId="26" xfId="0" applyNumberFormat="1" applyFont="1" applyBorder="1" applyAlignment="1">
      <alignment horizontal="center"/>
    </xf>
    <xf numFmtId="0" fontId="42" fillId="0" borderId="8" xfId="0" applyFont="1" applyBorder="1"/>
    <xf numFmtId="0" fontId="43" fillId="0" borderId="0" xfId="0" applyFont="1" applyAlignment="1">
      <alignment horizontal="right"/>
    </xf>
    <xf numFmtId="0" fontId="44" fillId="0" borderId="0" xfId="0" applyFont="1"/>
    <xf numFmtId="0" fontId="32" fillId="0" borderId="0" xfId="0" applyFont="1" applyAlignment="1">
      <alignment horizontal="center"/>
    </xf>
    <xf numFmtId="0" fontId="19" fillId="0" borderId="0" xfId="0" applyFont="1"/>
    <xf numFmtId="0" fontId="43" fillId="0" borderId="0" xfId="0" applyFont="1"/>
    <xf numFmtId="0" fontId="45" fillId="0" borderId="0" xfId="0" applyFont="1"/>
    <xf numFmtId="0" fontId="25" fillId="0" borderId="0" xfId="0" applyFont="1"/>
    <xf numFmtId="164" fontId="27" fillId="3" borderId="2" xfId="0" applyNumberFormat="1" applyFont="1" applyFill="1" applyBorder="1"/>
    <xf numFmtId="164" fontId="27" fillId="3" borderId="0" xfId="0" applyNumberFormat="1" applyFont="1" applyFill="1"/>
    <xf numFmtId="0" fontId="20" fillId="0" borderId="2" xfId="0" applyFont="1" applyBorder="1" applyAlignment="1">
      <alignment wrapText="1"/>
    </xf>
    <xf numFmtId="164" fontId="20" fillId="0" borderId="31" xfId="1" applyNumberFormat="1" applyFont="1" applyFill="1" applyBorder="1" applyAlignment="1">
      <alignment horizontal="right"/>
    </xf>
    <xf numFmtId="164" fontId="18" fillId="8" borderId="11" xfId="1" applyNumberFormat="1" applyFont="1" applyFill="1" applyBorder="1" applyAlignment="1">
      <alignment horizontal="right"/>
    </xf>
    <xf numFmtId="164" fontId="24" fillId="5" borderId="0" xfId="0" applyNumberFormat="1" applyFont="1" applyFill="1"/>
    <xf numFmtId="10" fontId="24" fillId="0" borderId="0" xfId="2" applyNumberFormat="1" applyFont="1" applyAlignment="1">
      <alignment horizontal="left"/>
    </xf>
    <xf numFmtId="165" fontId="24" fillId="0" borderId="0" xfId="2" applyNumberFormat="1" applyFont="1" applyAlignment="1">
      <alignment horizontal="left"/>
    </xf>
    <xf numFmtId="164" fontId="24" fillId="8" borderId="0" xfId="1" applyNumberFormat="1" applyFont="1" applyFill="1" applyBorder="1" applyAlignment="1">
      <alignment horizontal="right"/>
    </xf>
    <xf numFmtId="164" fontId="27" fillId="4" borderId="0" xfId="0" applyNumberFormat="1" applyFont="1" applyFill="1"/>
    <xf numFmtId="164" fontId="27" fillId="7" borderId="0" xfId="0" applyNumberFormat="1" applyFont="1" applyFill="1"/>
    <xf numFmtId="44" fontId="27" fillId="5" borderId="0" xfId="1" applyFont="1" applyFill="1"/>
    <xf numFmtId="44" fontId="27" fillId="5" borderId="2" xfId="1" applyFont="1" applyFill="1" applyBorder="1"/>
    <xf numFmtId="164" fontId="27" fillId="5" borderId="0" xfId="1" applyNumberFormat="1" applyFont="1" applyFill="1"/>
    <xf numFmtId="164" fontId="24" fillId="8" borderId="0" xfId="1" applyNumberFormat="1" applyFont="1" applyFill="1" applyBorder="1" applyAlignment="1">
      <alignment horizontal="left"/>
    </xf>
    <xf numFmtId="164" fontId="24" fillId="8" borderId="11" xfId="1" applyNumberFormat="1" applyFont="1" applyFill="1" applyBorder="1" applyAlignment="1">
      <alignment horizontal="right"/>
    </xf>
    <xf numFmtId="164" fontId="20" fillId="0" borderId="32" xfId="1" applyNumberFormat="1" applyFont="1" applyFill="1" applyBorder="1" applyAlignment="1">
      <alignment horizontal="left"/>
    </xf>
    <xf numFmtId="0" fontId="46" fillId="0" borderId="3" xfId="0" applyFont="1" applyBorder="1" applyAlignment="1">
      <alignment horizontal="right" indent="2"/>
    </xf>
    <xf numFmtId="0" fontId="20" fillId="0" borderId="0" xfId="0" applyFont="1"/>
    <xf numFmtId="0" fontId="26" fillId="0" borderId="3" xfId="0" applyFont="1" applyBorder="1" applyAlignment="1">
      <alignment horizontal="left" wrapText="1" indent="3"/>
    </xf>
    <xf numFmtId="164" fontId="26" fillId="0" borderId="35" xfId="1" applyNumberFormat="1" applyFont="1" applyFill="1" applyBorder="1" applyAlignment="1"/>
    <xf numFmtId="43" fontId="33" fillId="0" borderId="9" xfId="3" applyFont="1" applyFill="1" applyBorder="1"/>
    <xf numFmtId="0" fontId="26" fillId="0" borderId="5" xfId="0" applyFont="1" applyBorder="1" applyAlignment="1">
      <alignment horizontal="left" wrapText="1" indent="3"/>
    </xf>
    <xf numFmtId="43" fontId="33" fillId="0" borderId="6" xfId="3" applyFont="1" applyFill="1" applyBorder="1"/>
    <xf numFmtId="0" fontId="26" fillId="0" borderId="5" xfId="0" quotePrefix="1" applyFont="1" applyBorder="1" applyAlignment="1">
      <alignment horizontal="left" wrapText="1" indent="3"/>
    </xf>
    <xf numFmtId="164" fontId="33" fillId="0" borderId="6" xfId="3" applyNumberFormat="1" applyFont="1" applyFill="1" applyBorder="1"/>
    <xf numFmtId="0" fontId="26" fillId="0" borderId="7" xfId="0" applyFont="1" applyBorder="1" applyAlignment="1">
      <alignment horizontal="left" wrapText="1" indent="3"/>
    </xf>
    <xf numFmtId="43" fontId="33" fillId="0" borderId="8" xfId="3" applyFont="1" applyFill="1" applyBorder="1"/>
    <xf numFmtId="164" fontId="35" fillId="0" borderId="32" xfId="1" applyNumberFormat="1" applyFont="1" applyFill="1" applyBorder="1" applyAlignment="1"/>
    <xf numFmtId="49" fontId="16" fillId="0" borderId="0" xfId="0" applyNumberFormat="1" applyFont="1"/>
    <xf numFmtId="49" fontId="18" fillId="0" borderId="0" xfId="0" applyNumberFormat="1" applyFont="1"/>
    <xf numFmtId="49" fontId="22" fillId="0" borderId="0" xfId="0" applyNumberFormat="1" applyFont="1"/>
    <xf numFmtId="49" fontId="18" fillId="0" borderId="0" xfId="0" applyNumberFormat="1" applyFont="1" applyAlignment="1">
      <alignment wrapText="1"/>
    </xf>
    <xf numFmtId="49" fontId="27" fillId="0" borderId="0" xfId="0" applyNumberFormat="1" applyFont="1" applyAlignment="1">
      <alignment wrapText="1"/>
    </xf>
    <xf numFmtId="49" fontId="27" fillId="0" borderId="0" xfId="0" quotePrefix="1" applyNumberFormat="1" applyFont="1" applyAlignment="1">
      <alignment horizontal="center"/>
    </xf>
    <xf numFmtId="49" fontId="27" fillId="0" borderId="2" xfId="0" quotePrefix="1" applyNumberFormat="1" applyFont="1" applyBorder="1" applyAlignment="1">
      <alignment horizontal="center"/>
    </xf>
    <xf numFmtId="49" fontId="20" fillId="0" borderId="0" xfId="1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3" borderId="0" xfId="0" quotePrefix="1" applyNumberFormat="1" applyFont="1" applyFill="1" applyAlignment="1">
      <alignment horizontal="center"/>
    </xf>
    <xf numFmtId="49" fontId="20" fillId="0" borderId="0" xfId="1" applyNumberFormat="1" applyFont="1" applyFill="1" applyBorder="1" applyAlignment="1">
      <alignment horizontal="right"/>
    </xf>
    <xf numFmtId="49" fontId="18" fillId="0" borderId="2" xfId="0" applyNumberFormat="1" applyFont="1" applyBorder="1" applyAlignment="1">
      <alignment horizontal="center"/>
    </xf>
    <xf numFmtId="49" fontId="18" fillId="8" borderId="11" xfId="1" applyNumberFormat="1" applyFont="1" applyFill="1" applyBorder="1" applyAlignment="1">
      <alignment horizontal="right"/>
    </xf>
    <xf numFmtId="49" fontId="24" fillId="0" borderId="0" xfId="0" quotePrefix="1" applyNumberFormat="1" applyFont="1" applyAlignment="1">
      <alignment horizontal="center"/>
    </xf>
    <xf numFmtId="49" fontId="24" fillId="5" borderId="0" xfId="0" quotePrefix="1" applyNumberFormat="1" applyFont="1" applyFill="1" applyAlignment="1">
      <alignment horizontal="center"/>
    </xf>
    <xf numFmtId="49" fontId="38" fillId="0" borderId="0" xfId="0" quotePrefix="1" applyNumberFormat="1" applyFont="1" applyAlignment="1">
      <alignment horizontal="center"/>
    </xf>
    <xf numFmtId="49" fontId="24" fillId="0" borderId="1" xfId="0" quotePrefix="1" applyNumberFormat="1" applyFont="1" applyBorder="1" applyAlignment="1">
      <alignment horizontal="center"/>
    </xf>
    <xf numFmtId="49" fontId="33" fillId="0" borderId="4" xfId="0" quotePrefix="1" applyNumberFormat="1" applyFont="1" applyBorder="1" applyAlignment="1">
      <alignment horizontal="center"/>
    </xf>
    <xf numFmtId="49" fontId="33" fillId="0" borderId="0" xfId="0" quotePrefix="1" applyNumberFormat="1" applyFont="1" applyAlignment="1">
      <alignment horizontal="center"/>
    </xf>
    <xf numFmtId="49" fontId="33" fillId="0" borderId="2" xfId="0" quotePrefix="1" applyNumberFormat="1" applyFont="1" applyBorder="1" applyAlignment="1">
      <alignment horizontal="center"/>
    </xf>
    <xf numFmtId="49" fontId="24" fillId="8" borderId="0" xfId="1" applyNumberFormat="1" applyFont="1" applyFill="1" applyBorder="1" applyAlignment="1">
      <alignment horizontal="right"/>
    </xf>
    <xf numFmtId="49" fontId="27" fillId="4" borderId="0" xfId="0" quotePrefix="1" applyNumberFormat="1" applyFont="1" applyFill="1" applyAlignment="1">
      <alignment horizontal="center"/>
    </xf>
    <xf numFmtId="49" fontId="27" fillId="7" borderId="0" xfId="0" quotePrefix="1" applyNumberFormat="1" applyFont="1" applyFill="1" applyAlignment="1">
      <alignment horizontal="center"/>
    </xf>
    <xf numFmtId="49" fontId="27" fillId="5" borderId="0" xfId="0" quotePrefix="1" applyNumberFormat="1" applyFont="1" applyFill="1" applyAlignment="1">
      <alignment horizontal="center"/>
    </xf>
    <xf numFmtId="49" fontId="27" fillId="5" borderId="2" xfId="0" quotePrefix="1" applyNumberFormat="1" applyFont="1" applyFill="1" applyBorder="1" applyAlignment="1">
      <alignment horizontal="center"/>
    </xf>
    <xf numFmtId="49" fontId="24" fillId="8" borderId="0" xfId="1" applyNumberFormat="1" applyFont="1" applyFill="1" applyBorder="1" applyAlignment="1">
      <alignment horizontal="left"/>
    </xf>
    <xf numFmtId="49" fontId="24" fillId="8" borderId="11" xfId="1" applyNumberFormat="1" applyFont="1" applyFill="1" applyBorder="1" applyAlignment="1">
      <alignment horizontal="right"/>
    </xf>
    <xf numFmtId="49" fontId="20" fillId="0" borderId="0" xfId="1" applyNumberFormat="1" applyFont="1" applyFill="1" applyBorder="1" applyAlignment="1">
      <alignment horizontal="left"/>
    </xf>
    <xf numFmtId="49" fontId="18" fillId="0" borderId="0" xfId="0" applyNumberFormat="1" applyFont="1" applyAlignment="1">
      <alignment horizontal="center"/>
    </xf>
    <xf numFmtId="49" fontId="42" fillId="0" borderId="4" xfId="0" applyNumberFormat="1" applyFont="1" applyBorder="1"/>
    <xf numFmtId="49" fontId="42" fillId="0" borderId="0" xfId="0" applyNumberFormat="1" applyFont="1"/>
    <xf numFmtId="49" fontId="18" fillId="0" borderId="2" xfId="0" applyNumberFormat="1" applyFont="1" applyBorder="1"/>
    <xf numFmtId="49" fontId="27" fillId="0" borderId="0" xfId="0" applyNumberFormat="1" applyFont="1"/>
    <xf numFmtId="0" fontId="26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26" fillId="0" borderId="0" xfId="0" applyFont="1" applyAlignment="1">
      <alignment horizontal="left" wrapText="1" indent="2"/>
    </xf>
    <xf numFmtId="0" fontId="26" fillId="0" borderId="1" xfId="0" applyFont="1" applyBorder="1" applyAlignment="1">
      <alignment horizontal="left" wrapText="1" indent="2"/>
    </xf>
    <xf numFmtId="0" fontId="26" fillId="0" borderId="0" xfId="0" quotePrefix="1" applyFont="1" applyAlignment="1">
      <alignment horizontal="left" wrapText="1" indent="2"/>
    </xf>
    <xf numFmtId="0" fontId="47" fillId="0" borderId="0" xfId="0" applyFont="1"/>
    <xf numFmtId="0" fontId="26" fillId="3" borderId="0" xfId="0" applyFont="1" applyFill="1" applyAlignment="1">
      <alignment horizontal="left" wrapText="1" indent="2"/>
    </xf>
    <xf numFmtId="164" fontId="35" fillId="0" borderId="32" xfId="1" quotePrefix="1" applyNumberFormat="1" applyFont="1" applyFill="1" applyBorder="1" applyAlignment="1"/>
    <xf numFmtId="0" fontId="35" fillId="0" borderId="0" xfId="0" quotePrefix="1" applyFont="1" applyAlignment="1">
      <alignment horizontal="left" wrapText="1" indent="2"/>
    </xf>
    <xf numFmtId="49" fontId="38" fillId="3" borderId="0" xfId="0" quotePrefix="1" applyNumberFormat="1" applyFont="1" applyFill="1" applyAlignment="1">
      <alignment horizontal="center"/>
    </xf>
    <xf numFmtId="49" fontId="37" fillId="3" borderId="0" xfId="0" quotePrefix="1" applyNumberFormat="1" applyFont="1" applyFill="1" applyAlignment="1">
      <alignment horizontal="center"/>
    </xf>
    <xf numFmtId="49" fontId="24" fillId="3" borderId="0" xfId="0" quotePrefix="1" applyNumberFormat="1" applyFont="1" applyFill="1" applyAlignment="1">
      <alignment horizontal="center"/>
    </xf>
    <xf numFmtId="49" fontId="24" fillId="3" borderId="1" xfId="0" quotePrefix="1" applyNumberFormat="1" applyFont="1" applyFill="1" applyBorder="1" applyAlignment="1">
      <alignment horizontal="center"/>
    </xf>
    <xf numFmtId="49" fontId="24" fillId="3" borderId="2" xfId="0" quotePrefix="1" applyNumberFormat="1" applyFont="1" applyFill="1" applyBorder="1" applyAlignment="1">
      <alignment horizontal="center"/>
    </xf>
    <xf numFmtId="0" fontId="30" fillId="0" borderId="0" xfId="0" quotePrefix="1" applyFont="1" applyAlignment="1">
      <alignment horizontal="left" wrapText="1" indent="2"/>
    </xf>
    <xf numFmtId="0" fontId="30" fillId="0" borderId="0" xfId="0" applyFont="1" applyAlignment="1">
      <alignment horizontal="left" wrapText="1" indent="2"/>
    </xf>
    <xf numFmtId="0" fontId="26" fillId="0" borderId="2" xfId="0" applyFont="1" applyBorder="1" applyAlignment="1">
      <alignment horizontal="left" indent="1"/>
    </xf>
    <xf numFmtId="0" fontId="26" fillId="5" borderId="0" xfId="0" applyFont="1" applyFill="1" applyAlignment="1">
      <alignment horizontal="left" indent="1"/>
    </xf>
    <xf numFmtId="0" fontId="22" fillId="0" borderId="1" xfId="0" applyFont="1" applyBorder="1" applyAlignment="1">
      <alignment horizontal="right"/>
    </xf>
    <xf numFmtId="0" fontId="16" fillId="0" borderId="0" xfId="0" applyFont="1" applyAlignment="1">
      <alignment wrapText="1"/>
    </xf>
    <xf numFmtId="0" fontId="24" fillId="9" borderId="12" xfId="0" applyFont="1" applyFill="1" applyBorder="1" applyAlignment="1">
      <alignment wrapText="1"/>
    </xf>
    <xf numFmtId="164" fontId="24" fillId="9" borderId="36" xfId="1" applyNumberFormat="1" applyFont="1" applyFill="1" applyBorder="1" applyAlignment="1">
      <alignment horizontal="right"/>
    </xf>
    <xf numFmtId="49" fontId="24" fillId="9" borderId="12" xfId="1" applyNumberFormat="1" applyFont="1" applyFill="1" applyBorder="1" applyAlignment="1">
      <alignment horizontal="right"/>
    </xf>
    <xf numFmtId="164" fontId="24" fillId="9" borderId="12" xfId="1" applyNumberFormat="1" applyFont="1" applyFill="1" applyBorder="1" applyAlignment="1">
      <alignment horizontal="right"/>
    </xf>
    <xf numFmtId="0" fontId="26" fillId="0" borderId="27" xfId="0" applyFont="1" applyBorder="1" applyAlignment="1">
      <alignment horizontal="center" wrapText="1"/>
    </xf>
    <xf numFmtId="10" fontId="24" fillId="8" borderId="0" xfId="2" applyNumberFormat="1" applyFont="1" applyFill="1" applyBorder="1" applyAlignment="1">
      <alignment horizontal="right"/>
    </xf>
    <xf numFmtId="43" fontId="51" fillId="0" borderId="0" xfId="1" applyNumberFormat="1" applyFont="1" applyFill="1"/>
    <xf numFmtId="164" fontId="58" fillId="0" borderId="4" xfId="1" applyNumberFormat="1" applyFont="1" applyFill="1" applyBorder="1"/>
    <xf numFmtId="164" fontId="58" fillId="0" borderId="0" xfId="1" applyNumberFormat="1" applyFont="1" applyFill="1" applyBorder="1"/>
    <xf numFmtId="164" fontId="58" fillId="0" borderId="0" xfId="1" applyNumberFormat="1" applyFont="1" applyFill="1"/>
    <xf numFmtId="164" fontId="58" fillId="0" borderId="6" xfId="1" applyNumberFormat="1" applyFont="1" applyFill="1" applyBorder="1" applyAlignment="1">
      <alignment horizontal="left"/>
    </xf>
    <xf numFmtId="164" fontId="58" fillId="0" borderId="2" xfId="1" applyNumberFormat="1" applyFont="1" applyFill="1" applyBorder="1"/>
    <xf numFmtId="164" fontId="58" fillId="0" borderId="8" xfId="1" applyNumberFormat="1" applyFont="1" applyFill="1" applyBorder="1" applyAlignment="1">
      <alignment horizontal="left"/>
    </xf>
    <xf numFmtId="164" fontId="58" fillId="0" borderId="0" xfId="1" applyNumberFormat="1" applyFont="1" applyFill="1" applyAlignment="1">
      <alignment horizontal="left"/>
    </xf>
    <xf numFmtId="164" fontId="58" fillId="0" borderId="9" xfId="1" applyNumberFormat="1" applyFont="1" applyFill="1" applyBorder="1" applyAlignment="1">
      <alignment horizontal="left"/>
    </xf>
    <xf numFmtId="44" fontId="51" fillId="0" borderId="0" xfId="1" applyFont="1" applyFill="1" applyAlignment="1">
      <alignment horizontal="left"/>
    </xf>
    <xf numFmtId="43" fontId="56" fillId="0" borderId="0" xfId="1" applyNumberFormat="1" applyFont="1" applyFill="1"/>
    <xf numFmtId="164" fontId="61" fillId="0" borderId="4" xfId="1" applyNumberFormat="1" applyFont="1" applyFill="1" applyBorder="1"/>
    <xf numFmtId="164" fontId="61" fillId="0" borderId="0" xfId="1" applyNumberFormat="1" applyFont="1" applyFill="1"/>
    <xf numFmtId="164" fontId="61" fillId="0" borderId="2" xfId="1" applyNumberFormat="1" applyFont="1" applyFill="1" applyBorder="1"/>
    <xf numFmtId="164" fontId="30" fillId="0" borderId="38" xfId="1" applyNumberFormat="1" applyFont="1" applyFill="1" applyBorder="1" applyAlignment="1"/>
    <xf numFmtId="43" fontId="50" fillId="0" borderId="0" xfId="1" applyNumberFormat="1" applyFont="1" applyFill="1"/>
    <xf numFmtId="44" fontId="50" fillId="0" borderId="0" xfId="1" applyFont="1" applyFill="1" applyAlignment="1">
      <alignment horizontal="left"/>
    </xf>
    <xf numFmtId="0" fontId="48" fillId="0" borderId="0" xfId="0" applyFont="1"/>
    <xf numFmtId="0" fontId="48" fillId="0" borderId="0" xfId="0" applyFont="1" applyAlignment="1">
      <alignment horizontal="center"/>
    </xf>
    <xf numFmtId="44" fontId="48" fillId="0" borderId="0" xfId="1" applyFont="1" applyFill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44" fontId="50" fillId="0" borderId="0" xfId="1" applyFont="1" applyFill="1"/>
    <xf numFmtId="0" fontId="49" fillId="0" borderId="0" xfId="0" applyFont="1" applyAlignment="1">
      <alignment horizontal="left"/>
    </xf>
    <xf numFmtId="49" fontId="49" fillId="0" borderId="0" xfId="0" quotePrefix="1" applyNumberFormat="1" applyFont="1"/>
    <xf numFmtId="9" fontId="50" fillId="0" borderId="0" xfId="1" applyNumberFormat="1" applyFont="1" applyFill="1"/>
    <xf numFmtId="0" fontId="50" fillId="0" borderId="0" xfId="0" applyFont="1" applyAlignment="1">
      <alignment horizontal="right"/>
    </xf>
    <xf numFmtId="44" fontId="50" fillId="0" borderId="2" xfId="1" applyFont="1" applyFill="1" applyBorder="1" applyAlignment="1">
      <alignment horizontal="center" wrapText="1"/>
    </xf>
    <xf numFmtId="49" fontId="50" fillId="0" borderId="0" xfId="0" applyNumberFormat="1" applyFont="1" applyAlignment="1">
      <alignment horizontal="center"/>
    </xf>
    <xf numFmtId="49" fontId="51" fillId="0" borderId="0" xfId="0" quotePrefix="1" applyNumberFormat="1" applyFont="1"/>
    <xf numFmtId="0" fontId="51" fillId="0" borderId="0" xfId="0" quotePrefix="1" applyFont="1"/>
    <xf numFmtId="0" fontId="51" fillId="0" borderId="0" xfId="0" applyFont="1"/>
    <xf numFmtId="43" fontId="51" fillId="0" borderId="0" xfId="0" applyNumberFormat="1" applyFont="1"/>
    <xf numFmtId="0" fontId="51" fillId="0" borderId="0" xfId="0" applyFont="1" applyAlignment="1">
      <alignment horizontal="left"/>
    </xf>
    <xf numFmtId="49" fontId="50" fillId="0" borderId="0" xfId="0" quotePrefix="1" applyNumberFormat="1" applyFont="1"/>
    <xf numFmtId="0" fontId="50" fillId="0" borderId="0" xfId="0" quotePrefix="1" applyFont="1"/>
    <xf numFmtId="0" fontId="50" fillId="0" borderId="0" xfId="0" quotePrefix="1" applyFont="1" applyAlignment="1">
      <alignment horizontal="center"/>
    </xf>
    <xf numFmtId="43" fontId="50" fillId="0" borderId="0" xfId="0" applyNumberFormat="1" applyFont="1"/>
    <xf numFmtId="0" fontId="50" fillId="0" borderId="2" xfId="0" applyFont="1" applyBorder="1"/>
    <xf numFmtId="43" fontId="50" fillId="0" borderId="2" xfId="0" applyNumberFormat="1" applyFont="1" applyBorder="1"/>
    <xf numFmtId="8" fontId="51" fillId="0" borderId="0" xfId="0" applyNumberFormat="1" applyFont="1"/>
    <xf numFmtId="8" fontId="50" fillId="0" borderId="0" xfId="0" applyNumberFormat="1" applyFont="1"/>
    <xf numFmtId="44" fontId="50" fillId="0" borderId="2" xfId="1" applyFont="1" applyFill="1" applyBorder="1"/>
    <xf numFmtId="0" fontId="49" fillId="0" borderId="0" xfId="0" quotePrefix="1" applyFont="1"/>
    <xf numFmtId="43" fontId="49" fillId="0" borderId="0" xfId="0" applyNumberFormat="1" applyFont="1"/>
    <xf numFmtId="43" fontId="49" fillId="0" borderId="0" xfId="1" applyNumberFormat="1" applyFont="1" applyFill="1"/>
    <xf numFmtId="8" fontId="50" fillId="0" borderId="0" xfId="1" applyNumberFormat="1" applyFont="1" applyFill="1" applyAlignment="1">
      <alignment horizontal="left"/>
    </xf>
    <xf numFmtId="0" fontId="53" fillId="0" borderId="0" xfId="0" applyFont="1"/>
    <xf numFmtId="49" fontId="56" fillId="0" borderId="0" xfId="0" quotePrefix="1" applyNumberFormat="1" applyFont="1"/>
    <xf numFmtId="0" fontId="56" fillId="0" borderId="0" xfId="0" quotePrefix="1" applyFont="1"/>
    <xf numFmtId="0" fontId="57" fillId="0" borderId="0" xfId="0" quotePrefix="1" applyFont="1"/>
    <xf numFmtId="0" fontId="56" fillId="0" borderId="0" xfId="0" applyFont="1"/>
    <xf numFmtId="43" fontId="56" fillId="0" borderId="0" xfId="0" applyNumberFormat="1" applyFont="1"/>
    <xf numFmtId="40" fontId="51" fillId="0" borderId="0" xfId="0" applyNumberFormat="1" applyFont="1" applyAlignment="1">
      <alignment horizontal="left"/>
    </xf>
    <xf numFmtId="43" fontId="55" fillId="0" borderId="0" xfId="0" applyNumberFormat="1" applyFont="1"/>
    <xf numFmtId="0" fontId="58" fillId="0" borderId="0" xfId="0" quotePrefix="1" applyFont="1"/>
    <xf numFmtId="49" fontId="50" fillId="0" borderId="2" xfId="0" quotePrefix="1" applyNumberFormat="1" applyFont="1" applyBorder="1"/>
    <xf numFmtId="0" fontId="50" fillId="0" borderId="2" xfId="0" quotePrefix="1" applyFont="1" applyBorder="1"/>
    <xf numFmtId="0" fontId="50" fillId="0" borderId="2" xfId="0" applyFont="1" applyBorder="1" applyAlignment="1">
      <alignment horizontal="center"/>
    </xf>
    <xf numFmtId="0" fontId="50" fillId="0" borderId="0" xfId="0" applyFont="1" applyAlignment="1">
      <alignment horizontal="left"/>
    </xf>
    <xf numFmtId="0" fontId="50" fillId="0" borderId="12" xfId="0" applyFont="1" applyBorder="1"/>
    <xf numFmtId="0" fontId="50" fillId="0" borderId="12" xfId="0" applyFont="1" applyBorder="1" applyAlignment="1">
      <alignment horizontal="center"/>
    </xf>
    <xf numFmtId="44" fontId="50" fillId="0" borderId="12" xfId="1" applyFont="1" applyFill="1" applyBorder="1"/>
    <xf numFmtId="40" fontId="50" fillId="0" borderId="12" xfId="0" applyNumberFormat="1" applyFont="1" applyBorder="1"/>
    <xf numFmtId="0" fontId="50" fillId="0" borderId="12" xfId="0" applyFont="1" applyBorder="1" applyAlignment="1">
      <alignment horizontal="left"/>
    </xf>
    <xf numFmtId="49" fontId="50" fillId="0" borderId="0" xfId="0" applyNumberFormat="1" applyFont="1"/>
    <xf numFmtId="0" fontId="58" fillId="0" borderId="10" xfId="0" applyFont="1" applyBorder="1"/>
    <xf numFmtId="0" fontId="58" fillId="0" borderId="2" xfId="0" applyFont="1" applyBorder="1"/>
    <xf numFmtId="0" fontId="50" fillId="0" borderId="2" xfId="0" applyFont="1" applyBorder="1" applyAlignment="1">
      <alignment horizontal="right"/>
    </xf>
    <xf numFmtId="0" fontId="58" fillId="0" borderId="8" xfId="0" applyFont="1" applyBorder="1" applyAlignment="1">
      <alignment horizontal="left"/>
    </xf>
    <xf numFmtId="0" fontId="58" fillId="0" borderId="3" xfId="0" applyFont="1" applyBorder="1"/>
    <xf numFmtId="0" fontId="58" fillId="0" borderId="4" xfId="0" applyFont="1" applyBorder="1"/>
    <xf numFmtId="0" fontId="50" fillId="0" borderId="4" xfId="0" quotePrefix="1" applyFont="1" applyBorder="1"/>
    <xf numFmtId="0" fontId="50" fillId="0" borderId="4" xfId="0" quotePrefix="1" applyFont="1" applyBorder="1" applyAlignment="1">
      <alignment horizontal="center"/>
    </xf>
    <xf numFmtId="0" fontId="50" fillId="0" borderId="4" xfId="0" applyFont="1" applyBorder="1"/>
    <xf numFmtId="44" fontId="50" fillId="0" borderId="4" xfId="1" applyFont="1" applyFill="1" applyBorder="1"/>
    <xf numFmtId="0" fontId="58" fillId="0" borderId="5" xfId="0" applyFont="1" applyBorder="1"/>
    <xf numFmtId="0" fontId="58" fillId="0" borderId="0" xfId="0" applyFont="1"/>
    <xf numFmtId="0" fontId="58" fillId="0" borderId="7" xfId="0" applyFont="1" applyBorder="1"/>
    <xf numFmtId="0" fontId="50" fillId="0" borderId="2" xfId="0" quotePrefix="1" applyFont="1" applyBorder="1" applyAlignment="1">
      <alignment horizontal="center"/>
    </xf>
    <xf numFmtId="164" fontId="59" fillId="0" borderId="0" xfId="0" applyNumberFormat="1" applyFont="1"/>
    <xf numFmtId="0" fontId="50" fillId="0" borderId="3" xfId="0" applyFont="1" applyBorder="1"/>
    <xf numFmtId="0" fontId="50" fillId="0" borderId="7" xfId="0" applyFont="1" applyBorder="1"/>
    <xf numFmtId="164" fontId="50" fillId="0" borderId="0" xfId="1" applyNumberFormat="1" applyFont="1" applyFill="1"/>
    <xf numFmtId="49" fontId="60" fillId="0" borderId="0" xfId="0" applyNumberFormat="1" applyFont="1"/>
    <xf numFmtId="0" fontId="61" fillId="0" borderId="0" xfId="0" applyFont="1"/>
    <xf numFmtId="0" fontId="60" fillId="0" borderId="0" xfId="0" applyFont="1"/>
    <xf numFmtId="164" fontId="58" fillId="0" borderId="39" xfId="1" applyNumberFormat="1" applyFont="1" applyFill="1" applyBorder="1"/>
    <xf numFmtId="164" fontId="58" fillId="0" borderId="0" xfId="0" applyNumberFormat="1" applyFont="1"/>
    <xf numFmtId="0" fontId="58" fillId="0" borderId="0" xfId="0" applyFont="1" applyAlignment="1">
      <alignment horizontal="left"/>
    </xf>
    <xf numFmtId="164" fontId="58" fillId="0" borderId="0" xfId="0" applyNumberFormat="1" applyFont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50" fillId="4" borderId="0" xfId="0" applyFont="1" applyFill="1" applyAlignment="1">
      <alignment wrapText="1"/>
    </xf>
    <xf numFmtId="0" fontId="50" fillId="4" borderId="0" xfId="0" applyFont="1" applyFill="1" applyAlignment="1">
      <alignment horizontal="center" wrapText="1"/>
    </xf>
    <xf numFmtId="44" fontId="50" fillId="4" borderId="2" xfId="1" applyFont="1" applyFill="1" applyBorder="1" applyAlignment="1">
      <alignment horizontal="center" wrapText="1"/>
    </xf>
    <xf numFmtId="44" fontId="50" fillId="4" borderId="0" xfId="1" quotePrefix="1" applyFont="1" applyFill="1" applyAlignment="1">
      <alignment horizontal="center"/>
    </xf>
    <xf numFmtId="0" fontId="51" fillId="4" borderId="0" xfId="0" quotePrefix="1" applyFont="1" applyFill="1"/>
    <xf numFmtId="0" fontId="53" fillId="4" borderId="0" xfId="0" quotePrefix="1" applyFont="1" applyFill="1" applyAlignment="1">
      <alignment horizontal="center"/>
    </xf>
    <xf numFmtId="0" fontId="51" fillId="4" borderId="0" xfId="0" applyFont="1" applyFill="1"/>
    <xf numFmtId="44" fontId="52" fillId="4" borderId="0" xfId="1" applyFont="1" applyFill="1"/>
    <xf numFmtId="0" fontId="51" fillId="4" borderId="0" xfId="0" quotePrefix="1" applyFont="1" applyFill="1" applyAlignment="1">
      <alignment horizontal="center"/>
    </xf>
    <xf numFmtId="0" fontId="50" fillId="4" borderId="0" xfId="0" quotePrefix="1" applyFont="1" applyFill="1"/>
    <xf numFmtId="0" fontId="50" fillId="4" borderId="0" xfId="0" quotePrefix="1" applyFont="1" applyFill="1" applyAlignment="1">
      <alignment horizontal="center"/>
    </xf>
    <xf numFmtId="44" fontId="51" fillId="4" borderId="0" xfId="1" applyFont="1" applyFill="1"/>
    <xf numFmtId="0" fontId="50" fillId="4" borderId="2" xfId="0" applyFont="1" applyFill="1" applyBorder="1"/>
    <xf numFmtId="8" fontId="50" fillId="4" borderId="2" xfId="1" applyNumberFormat="1" applyFont="1" applyFill="1" applyBorder="1"/>
    <xf numFmtId="0" fontId="53" fillId="4" borderId="0" xfId="0" applyFont="1" applyFill="1" applyAlignment="1">
      <alignment horizontal="center"/>
    </xf>
    <xf numFmtId="44" fontId="53" fillId="4" borderId="0" xfId="1" applyFont="1" applyFill="1"/>
    <xf numFmtId="0" fontId="52" fillId="4" borderId="0" xfId="0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44" fontId="50" fillId="4" borderId="2" xfId="1" applyFont="1" applyFill="1" applyBorder="1"/>
    <xf numFmtId="0" fontId="49" fillId="4" borderId="0" xfId="0" applyFont="1" applyFill="1"/>
    <xf numFmtId="0" fontId="62" fillId="4" borderId="0" xfId="0" applyFont="1" applyFill="1" applyAlignment="1">
      <alignment horizontal="center"/>
    </xf>
    <xf numFmtId="44" fontId="62" fillId="4" borderId="0" xfId="1" applyFont="1" applyFill="1"/>
    <xf numFmtId="0" fontId="56" fillId="4" borderId="0" xfId="0" applyFont="1" applyFill="1"/>
    <xf numFmtId="0" fontId="56" fillId="4" borderId="0" xfId="0" applyFont="1" applyFill="1" applyAlignment="1">
      <alignment horizontal="center"/>
    </xf>
    <xf numFmtId="44" fontId="56" fillId="4" borderId="0" xfId="1" applyFont="1" applyFill="1"/>
    <xf numFmtId="44" fontId="50" fillId="4" borderId="0" xfId="1" applyFont="1" applyFill="1"/>
    <xf numFmtId="0" fontId="55" fillId="4" borderId="0" xfId="0" applyFont="1" applyFill="1"/>
    <xf numFmtId="0" fontId="50" fillId="4" borderId="2" xfId="0" applyFont="1" applyFill="1" applyBorder="1" applyAlignment="1">
      <alignment horizontal="center"/>
    </xf>
    <xf numFmtId="44" fontId="55" fillId="4" borderId="0" xfId="1" applyFont="1" applyFill="1"/>
    <xf numFmtId="0" fontId="54" fillId="4" borderId="0" xfId="0" applyFont="1" applyFill="1" applyAlignment="1">
      <alignment horizontal="center"/>
    </xf>
    <xf numFmtId="49" fontId="63" fillId="0" borderId="0" xfId="0" applyNumberFormat="1" applyFont="1"/>
    <xf numFmtId="0" fontId="63" fillId="0" borderId="0" xfId="0" applyFont="1"/>
    <xf numFmtId="0" fontId="64" fillId="0" borderId="0" xfId="0" applyFont="1"/>
    <xf numFmtId="2" fontId="63" fillId="0" borderId="0" xfId="0" applyNumberFormat="1" applyFont="1"/>
    <xf numFmtId="44" fontId="63" fillId="0" borderId="0" xfId="0" applyNumberFormat="1" applyFont="1"/>
    <xf numFmtId="0" fontId="65" fillId="0" borderId="0" xfId="0" applyFont="1"/>
    <xf numFmtId="10" fontId="58" fillId="0" borderId="0" xfId="2" applyNumberFormat="1" applyFont="1" applyFill="1" applyBorder="1" applyAlignment="1">
      <alignment horizontal="center"/>
    </xf>
    <xf numFmtId="44" fontId="56" fillId="0" borderId="0" xfId="1" applyFont="1" applyFill="1" applyBorder="1"/>
    <xf numFmtId="44" fontId="50" fillId="0" borderId="0" xfId="1" applyFont="1" applyFill="1" applyBorder="1"/>
    <xf numFmtId="0" fontId="58" fillId="4" borderId="2" xfId="0" applyFont="1" applyFill="1" applyBorder="1" applyAlignment="1">
      <alignment horizontal="center"/>
    </xf>
    <xf numFmtId="44" fontId="58" fillId="4" borderId="2" xfId="1" applyFont="1" applyFill="1" applyBorder="1" applyAlignment="1">
      <alignment horizontal="center"/>
    </xf>
    <xf numFmtId="10" fontId="58" fillId="0" borderId="0" xfId="2" applyNumberFormat="1" applyFont="1" applyFill="1" applyAlignment="1">
      <alignment horizontal="center"/>
    </xf>
    <xf numFmtId="0" fontId="50" fillId="0" borderId="0" xfId="0" applyFont="1" applyAlignment="1">
      <alignment wrapText="1"/>
    </xf>
    <xf numFmtId="0" fontId="50" fillId="0" borderId="2" xfId="0" applyFont="1" applyBorder="1" applyAlignment="1">
      <alignment horizontal="center" wrapText="1"/>
    </xf>
    <xf numFmtId="0" fontId="50" fillId="0" borderId="2" xfId="0" applyFont="1" applyBorder="1" applyAlignment="1">
      <alignment wrapText="1"/>
    </xf>
    <xf numFmtId="0" fontId="50" fillId="0" borderId="0" xfId="0" applyFont="1" applyAlignment="1">
      <alignment horizontal="left" wrapText="1"/>
    </xf>
    <xf numFmtId="40" fontId="50" fillId="0" borderId="0" xfId="0" quotePrefix="1" applyNumberFormat="1" applyFont="1" applyAlignment="1">
      <alignment horizontal="center"/>
    </xf>
    <xf numFmtId="40" fontId="50" fillId="0" borderId="0" xfId="0" applyNumberFormat="1" applyFont="1" applyAlignment="1">
      <alignment horizontal="center"/>
    </xf>
    <xf numFmtId="44" fontId="50" fillId="0" borderId="0" xfId="1" quotePrefix="1" applyFont="1" applyFill="1" applyAlignment="1">
      <alignment horizontal="center"/>
    </xf>
    <xf numFmtId="49" fontId="58" fillId="0" borderId="0" xfId="0" quotePrefix="1" applyNumberFormat="1" applyFont="1"/>
    <xf numFmtId="0" fontId="58" fillId="4" borderId="0" xfId="0" applyFont="1" applyFill="1"/>
    <xf numFmtId="44" fontId="66" fillId="4" borderId="0" xfId="1" applyFont="1" applyFill="1"/>
    <xf numFmtId="43" fontId="58" fillId="0" borderId="0" xfId="0" applyNumberFormat="1" applyFont="1"/>
    <xf numFmtId="43" fontId="58" fillId="0" borderId="0" xfId="1" applyNumberFormat="1" applyFont="1" applyFill="1"/>
    <xf numFmtId="44" fontId="58" fillId="4" borderId="0" xfId="1" applyFont="1" applyFill="1"/>
    <xf numFmtId="44" fontId="58" fillId="0" borderId="0" xfId="1" applyFont="1" applyFill="1" applyAlignment="1">
      <alignment horizontal="left"/>
    </xf>
    <xf numFmtId="8" fontId="56" fillId="0" borderId="0" xfId="1" applyNumberFormat="1" applyFont="1" applyFill="1" applyAlignment="1">
      <alignment horizontal="left"/>
    </xf>
    <xf numFmtId="0" fontId="61" fillId="4" borderId="0" xfId="0" applyFont="1" applyFill="1" applyAlignment="1">
      <alignment horizontal="center"/>
    </xf>
    <xf numFmtId="44" fontId="61" fillId="4" borderId="0" xfId="1" applyFont="1" applyFill="1"/>
    <xf numFmtId="8" fontId="58" fillId="0" borderId="0" xfId="0" applyNumberFormat="1" applyFont="1"/>
    <xf numFmtId="0" fontId="66" fillId="4" borderId="0" xfId="0" applyFont="1" applyFill="1" applyAlignment="1">
      <alignment horizontal="center"/>
    </xf>
    <xf numFmtId="0" fontId="58" fillId="4" borderId="0" xfId="0" applyFont="1" applyFill="1" applyAlignment="1">
      <alignment horizontal="center"/>
    </xf>
    <xf numFmtId="8" fontId="57" fillId="0" borderId="0" xfId="1" applyNumberFormat="1" applyFont="1" applyFill="1" applyAlignment="1">
      <alignment horizontal="left"/>
    </xf>
    <xf numFmtId="49" fontId="57" fillId="0" borderId="0" xfId="0" quotePrefix="1" applyNumberFormat="1" applyFont="1"/>
    <xf numFmtId="44" fontId="58" fillId="4" borderId="2" xfId="1" applyFont="1" applyFill="1" applyBorder="1"/>
    <xf numFmtId="43" fontId="61" fillId="0" borderId="0" xfId="0" applyNumberFormat="1" applyFont="1"/>
    <xf numFmtId="43" fontId="61" fillId="0" borderId="0" xfId="1" applyNumberFormat="1" applyFont="1" applyFill="1"/>
    <xf numFmtId="40" fontId="58" fillId="0" borderId="0" xfId="0" applyNumberFormat="1" applyFont="1" applyAlignment="1">
      <alignment horizontal="left"/>
    </xf>
    <xf numFmtId="0" fontId="57" fillId="4" borderId="0" xfId="0" applyFont="1" applyFill="1"/>
    <xf numFmtId="0" fontId="58" fillId="0" borderId="2" xfId="0" applyFont="1" applyBorder="1" applyAlignment="1">
      <alignment horizontal="center" wrapText="1"/>
    </xf>
    <xf numFmtId="0" fontId="58" fillId="0" borderId="2" xfId="0" applyFont="1" applyBorder="1" applyAlignment="1">
      <alignment wrapText="1"/>
    </xf>
    <xf numFmtId="0" fontId="58" fillId="0" borderId="25" xfId="0" applyFont="1" applyBorder="1" applyAlignment="1">
      <alignment horizontal="center" wrapText="1"/>
    </xf>
    <xf numFmtId="0" fontId="58" fillId="0" borderId="25" xfId="0" applyFont="1" applyBorder="1" applyAlignment="1">
      <alignment wrapText="1"/>
    </xf>
    <xf numFmtId="164" fontId="50" fillId="0" borderId="0" xfId="0" applyNumberFormat="1" applyFont="1"/>
    <xf numFmtId="164" fontId="33" fillId="0" borderId="27" xfId="1" applyNumberFormat="1" applyFont="1" applyFill="1" applyBorder="1" applyAlignment="1">
      <alignment horizontal="center" wrapText="1"/>
    </xf>
    <xf numFmtId="164" fontId="33" fillId="0" borderId="27" xfId="1" applyNumberFormat="1" applyFont="1" applyFill="1" applyBorder="1" applyAlignment="1">
      <alignment horizontal="left"/>
    </xf>
    <xf numFmtId="164" fontId="33" fillId="0" borderId="26" xfId="1" applyNumberFormat="1" applyFont="1" applyFill="1" applyBorder="1" applyAlignment="1">
      <alignment horizontal="left"/>
    </xf>
    <xf numFmtId="164" fontId="33" fillId="0" borderId="27" xfId="1" applyNumberFormat="1" applyFont="1" applyFill="1" applyBorder="1" applyAlignment="1"/>
    <xf numFmtId="164" fontId="33" fillId="3" borderId="27" xfId="1" applyNumberFormat="1" applyFont="1" applyFill="1" applyBorder="1" applyAlignment="1">
      <alignment horizontal="left"/>
    </xf>
    <xf numFmtId="164" fontId="33" fillId="0" borderId="26" xfId="1" applyNumberFormat="1" applyFont="1" applyFill="1" applyBorder="1" applyAlignment="1"/>
    <xf numFmtId="164" fontId="33" fillId="5" borderId="27" xfId="1" applyNumberFormat="1" applyFont="1" applyFill="1" applyBorder="1" applyAlignment="1"/>
    <xf numFmtId="164" fontId="33" fillId="0" borderId="0" xfId="1" applyNumberFormat="1" applyFont="1" applyFill="1" applyBorder="1" applyAlignment="1"/>
    <xf numFmtId="164" fontId="33" fillId="0" borderId="28" xfId="1" applyNumberFormat="1" applyFont="1" applyFill="1" applyBorder="1" applyAlignment="1"/>
    <xf numFmtId="164" fontId="33" fillId="4" borderId="27" xfId="1" applyNumberFormat="1" applyFont="1" applyFill="1" applyBorder="1" applyAlignment="1">
      <alignment horizontal="left"/>
    </xf>
    <xf numFmtId="164" fontId="33" fillId="7" borderId="27" xfId="1" applyNumberFormat="1" applyFont="1" applyFill="1" applyBorder="1" applyAlignment="1">
      <alignment horizontal="left"/>
    </xf>
    <xf numFmtId="164" fontId="33" fillId="5" borderId="27" xfId="1" applyNumberFormat="1" applyFont="1" applyFill="1" applyBorder="1" applyAlignment="1">
      <alignment horizontal="left"/>
    </xf>
    <xf numFmtId="164" fontId="33" fillId="5" borderId="26" xfId="1" applyNumberFormat="1" applyFont="1" applyFill="1" applyBorder="1" applyAlignment="1">
      <alignment horizontal="left"/>
    </xf>
    <xf numFmtId="164" fontId="25" fillId="0" borderId="38" xfId="1" applyNumberFormat="1" applyFont="1" applyBorder="1" applyAlignment="1"/>
    <xf numFmtId="164" fontId="33" fillId="0" borderId="0" xfId="1" applyNumberFormat="1" applyFont="1" applyFill="1" applyBorder="1" applyAlignment="1">
      <alignment horizontal="left"/>
    </xf>
    <xf numFmtId="164" fontId="32" fillId="0" borderId="27" xfId="1" applyNumberFormat="1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164" fontId="68" fillId="0" borderId="27" xfId="1" applyNumberFormat="1" applyFont="1" applyBorder="1" applyAlignment="1"/>
    <xf numFmtId="0" fontId="68" fillId="0" borderId="27" xfId="0" applyFont="1" applyBorder="1"/>
    <xf numFmtId="0" fontId="68" fillId="0" borderId="29" xfId="0" applyFont="1" applyBorder="1"/>
    <xf numFmtId="0" fontId="68" fillId="0" borderId="26" xfId="0" applyFont="1" applyBorder="1"/>
    <xf numFmtId="0" fontId="68" fillId="0" borderId="0" xfId="0" applyFont="1"/>
    <xf numFmtId="0" fontId="68" fillId="0" borderId="32" xfId="0" applyFont="1" applyBorder="1"/>
    <xf numFmtId="164" fontId="17" fillId="0" borderId="0" xfId="0" applyNumberFormat="1" applyFont="1"/>
    <xf numFmtId="44" fontId="41" fillId="0" borderId="0" xfId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25" fillId="0" borderId="38" xfId="1" applyNumberFormat="1" applyFont="1" applyFill="1" applyBorder="1" applyAlignment="1"/>
    <xf numFmtId="164" fontId="25" fillId="0" borderId="32" xfId="1" quotePrefix="1" applyNumberFormat="1" applyFont="1" applyFill="1" applyBorder="1" applyAlignment="1"/>
    <xf numFmtId="164" fontId="33" fillId="0" borderId="27" xfId="1" quotePrefix="1" applyNumberFormat="1" applyFont="1" applyFill="1" applyBorder="1" applyAlignment="1"/>
    <xf numFmtId="164" fontId="26" fillId="0" borderId="0" xfId="1" applyNumberFormat="1" applyFont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4" fontId="32" fillId="0" borderId="0" xfId="1" applyNumberFormat="1" applyFont="1" applyFill="1" applyBorder="1" applyAlignment="1">
      <alignment horizontal="center"/>
    </xf>
    <xf numFmtId="10" fontId="26" fillId="0" borderId="27" xfId="2" applyNumberFormat="1" applyFont="1" applyBorder="1" applyAlignment="1">
      <alignment horizontal="center"/>
    </xf>
    <xf numFmtId="10" fontId="20" fillId="8" borderId="32" xfId="2" applyNumberFormat="1" applyFont="1" applyFill="1" applyBorder="1" applyAlignment="1">
      <alignment horizontal="center"/>
    </xf>
    <xf numFmtId="10" fontId="26" fillId="0" borderId="31" xfId="2" applyNumberFormat="1" applyFont="1" applyBorder="1" applyAlignment="1">
      <alignment horizontal="center"/>
    </xf>
    <xf numFmtId="10" fontId="20" fillId="0" borderId="31" xfId="2" applyNumberFormat="1" applyFont="1" applyFill="1" applyBorder="1" applyAlignment="1">
      <alignment horizontal="right"/>
    </xf>
    <xf numFmtId="10" fontId="20" fillId="8" borderId="33" xfId="2" applyNumberFormat="1" applyFont="1" applyFill="1" applyBorder="1" applyAlignment="1">
      <alignment horizontal="center"/>
    </xf>
    <xf numFmtId="10" fontId="24" fillId="8" borderId="32" xfId="2" applyNumberFormat="1" applyFont="1" applyFill="1" applyBorder="1" applyAlignment="1">
      <alignment horizontal="right"/>
    </xf>
    <xf numFmtId="10" fontId="20" fillId="8" borderId="32" xfId="2" applyNumberFormat="1" applyFont="1" applyFill="1" applyBorder="1" applyAlignment="1">
      <alignment horizontal="right"/>
    </xf>
    <xf numFmtId="49" fontId="20" fillId="8" borderId="0" xfId="1" applyNumberFormat="1" applyFont="1" applyFill="1" applyBorder="1" applyAlignment="1">
      <alignment horizontal="right"/>
    </xf>
    <xf numFmtId="164" fontId="32" fillId="0" borderId="31" xfId="1" applyNumberFormat="1" applyFont="1" applyFill="1" applyBorder="1" applyAlignment="1">
      <alignment horizontal="center"/>
    </xf>
    <xf numFmtId="10" fontId="24" fillId="8" borderId="33" xfId="2" applyNumberFormat="1" applyFont="1" applyFill="1" applyBorder="1" applyAlignment="1">
      <alignment horizontal="right"/>
    </xf>
    <xf numFmtId="10" fontId="24" fillId="8" borderId="32" xfId="2" applyNumberFormat="1" applyFont="1" applyFill="1" applyBorder="1" applyAlignment="1">
      <alignment horizontal="center"/>
    </xf>
    <xf numFmtId="9" fontId="24" fillId="9" borderId="36" xfId="2" applyFont="1" applyFill="1" applyBorder="1" applyAlignment="1">
      <alignment horizontal="right"/>
    </xf>
    <xf numFmtId="10" fontId="20" fillId="0" borderId="32" xfId="2" applyNumberFormat="1" applyFont="1" applyFill="1" applyBorder="1" applyAlignment="1">
      <alignment horizontal="center"/>
    </xf>
    <xf numFmtId="164" fontId="20" fillId="8" borderId="37" xfId="1" applyNumberFormat="1" applyFont="1" applyFill="1" applyBorder="1" applyAlignment="1"/>
    <xf numFmtId="44" fontId="41" fillId="0" borderId="27" xfId="1" applyFont="1" applyBorder="1" applyAlignment="1">
      <alignment horizontal="center"/>
    </xf>
    <xf numFmtId="0" fontId="69" fillId="0" borderId="28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70" fillId="0" borderId="0" xfId="0" applyFont="1" applyAlignment="1">
      <alignment horizontal="right"/>
    </xf>
    <xf numFmtId="164" fontId="32" fillId="0" borderId="27" xfId="1" applyNumberFormat="1" applyFont="1" applyFill="1" applyBorder="1" applyAlignment="1"/>
    <xf numFmtId="0" fontId="19" fillId="0" borderId="27" xfId="0" applyFont="1" applyBorder="1" applyAlignment="1">
      <alignment horizontal="center"/>
    </xf>
    <xf numFmtId="44" fontId="19" fillId="3" borderId="27" xfId="1" applyFont="1" applyFill="1" applyBorder="1" applyAlignment="1">
      <alignment horizontal="center"/>
    </xf>
    <xf numFmtId="0" fontId="19" fillId="0" borderId="28" xfId="0" applyFont="1" applyBorder="1" applyAlignment="1">
      <alignment horizontal="center" wrapText="1"/>
    </xf>
    <xf numFmtId="164" fontId="19" fillId="0" borderId="27" xfId="1" applyNumberFormat="1" applyFont="1" applyFill="1" applyBorder="1" applyAlignment="1">
      <alignment horizontal="center" wrapText="1"/>
    </xf>
    <xf numFmtId="164" fontId="19" fillId="0" borderId="27" xfId="1" applyNumberFormat="1" applyFont="1" applyFill="1" applyBorder="1" applyAlignment="1">
      <alignment wrapText="1"/>
    </xf>
    <xf numFmtId="164" fontId="19" fillId="0" borderId="27" xfId="1" applyNumberFormat="1" applyFont="1" applyFill="1" applyBorder="1" applyAlignment="1">
      <alignment horizontal="left"/>
    </xf>
    <xf numFmtId="164" fontId="19" fillId="0" borderId="26" xfId="1" applyNumberFormat="1" applyFont="1" applyFill="1" applyBorder="1" applyAlignment="1">
      <alignment horizontal="left"/>
    </xf>
    <xf numFmtId="164" fontId="43" fillId="8" borderId="32" xfId="1" applyNumberFormat="1" applyFont="1" applyFill="1" applyBorder="1" applyAlignment="1">
      <alignment horizontal="center"/>
    </xf>
    <xf numFmtId="164" fontId="19" fillId="0" borderId="27" xfId="1" applyNumberFormat="1" applyFont="1" applyFill="1" applyBorder="1" applyAlignment="1"/>
    <xf numFmtId="164" fontId="19" fillId="3" borderId="27" xfId="1" applyNumberFormat="1" applyFont="1" applyFill="1" applyBorder="1" applyAlignment="1">
      <alignment horizontal="left"/>
    </xf>
    <xf numFmtId="164" fontId="19" fillId="0" borderId="26" xfId="1" applyNumberFormat="1" applyFont="1" applyFill="1" applyBorder="1" applyAlignment="1"/>
    <xf numFmtId="164" fontId="43" fillId="8" borderId="32" xfId="1" applyNumberFormat="1" applyFont="1" applyFill="1" applyBorder="1" applyAlignment="1">
      <alignment horizontal="right"/>
    </xf>
    <xf numFmtId="164" fontId="31" fillId="0" borderId="26" xfId="1" applyNumberFormat="1" applyFont="1" applyBorder="1" applyAlignment="1">
      <alignment horizontal="center"/>
    </xf>
    <xf numFmtId="164" fontId="43" fillId="0" borderId="31" xfId="1" applyNumberFormat="1" applyFont="1" applyFill="1" applyBorder="1" applyAlignment="1">
      <alignment horizontal="right"/>
    </xf>
    <xf numFmtId="164" fontId="42" fillId="8" borderId="33" xfId="1" applyNumberFormat="1" applyFont="1" applyFill="1" applyBorder="1" applyAlignment="1">
      <alignment horizontal="right"/>
    </xf>
    <xf numFmtId="164" fontId="19" fillId="5" borderId="27" xfId="1" applyNumberFormat="1" applyFont="1" applyFill="1" applyBorder="1" applyAlignment="1"/>
    <xf numFmtId="164" fontId="19" fillId="0" borderId="28" xfId="1" applyNumberFormat="1" applyFont="1" applyFill="1" applyBorder="1" applyAlignment="1"/>
    <xf numFmtId="164" fontId="19" fillId="0" borderId="31" xfId="1" applyNumberFormat="1" applyFont="1" applyFill="1" applyBorder="1" applyAlignment="1"/>
    <xf numFmtId="164" fontId="19" fillId="0" borderId="32" xfId="1" applyNumberFormat="1" applyFont="1" applyFill="1" applyBorder="1" applyAlignment="1"/>
    <xf numFmtId="164" fontId="19" fillId="8" borderId="32" xfId="1" applyNumberFormat="1" applyFont="1" applyFill="1" applyBorder="1" applyAlignment="1">
      <alignment horizontal="right"/>
    </xf>
    <xf numFmtId="164" fontId="19" fillId="4" borderId="27" xfId="1" applyNumberFormat="1" applyFont="1" applyFill="1" applyBorder="1" applyAlignment="1">
      <alignment horizontal="left"/>
    </xf>
    <xf numFmtId="164" fontId="19" fillId="7" borderId="27" xfId="1" applyNumberFormat="1" applyFont="1" applyFill="1" applyBorder="1" applyAlignment="1">
      <alignment horizontal="left"/>
    </xf>
    <xf numFmtId="164" fontId="19" fillId="5" borderId="27" xfId="1" applyNumberFormat="1" applyFont="1" applyFill="1" applyBorder="1" applyAlignment="1">
      <alignment horizontal="left"/>
    </xf>
    <xf numFmtId="164" fontId="19" fillId="5" borderId="26" xfId="1" applyNumberFormat="1" applyFont="1" applyFill="1" applyBorder="1" applyAlignment="1">
      <alignment horizontal="left"/>
    </xf>
    <xf numFmtId="164" fontId="19" fillId="0" borderId="27" xfId="1" quotePrefix="1" applyNumberFormat="1" applyFont="1" applyFill="1" applyBorder="1" applyAlignment="1"/>
    <xf numFmtId="164" fontId="19" fillId="8" borderId="32" xfId="1" applyNumberFormat="1" applyFont="1" applyFill="1" applyBorder="1" applyAlignment="1">
      <alignment horizontal="left"/>
    </xf>
    <xf numFmtId="164" fontId="19" fillId="8" borderId="33" xfId="1" applyNumberFormat="1" applyFont="1" applyFill="1" applyBorder="1" applyAlignment="1">
      <alignment horizontal="right"/>
    </xf>
    <xf numFmtId="164" fontId="43" fillId="0" borderId="32" xfId="1" applyNumberFormat="1" applyFont="1" applyFill="1" applyBorder="1" applyAlignment="1">
      <alignment horizontal="left"/>
    </xf>
    <xf numFmtId="164" fontId="19" fillId="9" borderId="36" xfId="1" applyNumberFormat="1" applyFont="1" applyFill="1" applyBorder="1" applyAlignment="1">
      <alignment horizontal="right"/>
    </xf>
    <xf numFmtId="0" fontId="19" fillId="0" borderId="27" xfId="0" applyFont="1" applyBorder="1"/>
    <xf numFmtId="164" fontId="31" fillId="0" borderId="27" xfId="1" applyNumberFormat="1" applyFont="1" applyBorder="1" applyAlignment="1">
      <alignment horizontal="center"/>
    </xf>
    <xf numFmtId="164" fontId="43" fillId="8" borderId="37" xfId="1" applyNumberFormat="1" applyFont="1" applyFill="1" applyBorder="1" applyAlignment="1"/>
    <xf numFmtId="164" fontId="19" fillId="0" borderId="29" xfId="0" applyNumberFormat="1" applyFont="1" applyBorder="1"/>
    <xf numFmtId="0" fontId="19" fillId="0" borderId="26" xfId="0" applyFont="1" applyBorder="1"/>
    <xf numFmtId="164" fontId="25" fillId="0" borderId="27" xfId="1" applyNumberFormat="1" applyFont="1" applyBorder="1" applyAlignment="1"/>
    <xf numFmtId="164" fontId="26" fillId="0" borderId="29" xfId="1" applyNumberFormat="1" applyFont="1" applyFill="1" applyBorder="1" applyAlignment="1"/>
    <xf numFmtId="164" fontId="21" fillId="0" borderId="30" xfId="1" applyNumberFormat="1" applyFont="1" applyBorder="1" applyAlignment="1">
      <alignment horizontal="center"/>
    </xf>
    <xf numFmtId="164" fontId="25" fillId="0" borderId="27" xfId="1" applyNumberFormat="1" applyFont="1" applyFill="1" applyBorder="1" applyAlignment="1"/>
    <xf numFmtId="164" fontId="25" fillId="0" borderId="26" xfId="1" applyNumberFormat="1" applyFont="1" applyBorder="1" applyAlignment="1"/>
    <xf numFmtId="164" fontId="25" fillId="3" borderId="27" xfId="1" applyNumberFormat="1" applyFont="1" applyFill="1" applyBorder="1" applyAlignment="1"/>
    <xf numFmtId="164" fontId="25" fillId="0" borderId="0" xfId="1" applyNumberFormat="1" applyFont="1" applyBorder="1" applyAlignment="1"/>
    <xf numFmtId="164" fontId="26" fillId="5" borderId="27" xfId="1" applyNumberFormat="1" applyFont="1" applyFill="1" applyBorder="1" applyAlignment="1"/>
    <xf numFmtId="164" fontId="26" fillId="0" borderId="26" xfId="1" applyNumberFormat="1" applyFont="1" applyFill="1" applyBorder="1" applyAlignment="1"/>
    <xf numFmtId="164" fontId="26" fillId="0" borderId="28" xfId="1" applyNumberFormat="1" applyFont="1" applyFill="1" applyBorder="1" applyAlignment="1"/>
    <xf numFmtId="164" fontId="26" fillId="0" borderId="27" xfId="1" quotePrefix="1" applyNumberFormat="1" applyFont="1" applyFill="1" applyBorder="1" applyAlignment="1"/>
    <xf numFmtId="164" fontId="25" fillId="0" borderId="0" xfId="1" applyNumberFormat="1" applyFont="1" applyFill="1" applyBorder="1" applyAlignment="1"/>
    <xf numFmtId="164" fontId="25" fillId="4" borderId="27" xfId="1" applyNumberFormat="1" applyFont="1" applyFill="1" applyBorder="1" applyAlignment="1"/>
    <xf numFmtId="164" fontId="25" fillId="7" borderId="27" xfId="1" applyNumberFormat="1" applyFont="1" applyFill="1" applyBorder="1" applyAlignment="1"/>
    <xf numFmtId="164" fontId="25" fillId="5" borderId="27" xfId="1" applyNumberFormat="1" applyFont="1" applyFill="1" applyBorder="1" applyAlignment="1"/>
    <xf numFmtId="164" fontId="25" fillId="5" borderId="26" xfId="1" applyNumberFormat="1" applyFont="1" applyFill="1" applyBorder="1" applyAlignment="1"/>
    <xf numFmtId="164" fontId="25" fillId="0" borderId="27" xfId="1" quotePrefix="1" applyNumberFormat="1" applyFont="1" applyBorder="1" applyAlignment="1"/>
    <xf numFmtId="164" fontId="25" fillId="5" borderId="26" xfId="1" quotePrefix="1" applyNumberFormat="1" applyFont="1" applyFill="1" applyBorder="1" applyAlignment="1"/>
    <xf numFmtId="164" fontId="25" fillId="0" borderId="27" xfId="1" quotePrefix="1" applyNumberFormat="1" applyFont="1" applyFill="1" applyBorder="1" applyAlignment="1"/>
    <xf numFmtId="164" fontId="20" fillId="0" borderId="27" xfId="1" applyNumberFormat="1" applyFont="1" applyFill="1" applyBorder="1" applyAlignment="1"/>
    <xf numFmtId="164" fontId="18" fillId="0" borderId="0" xfId="1" applyNumberFormat="1" applyFont="1"/>
    <xf numFmtId="0" fontId="33" fillId="0" borderId="0" xfId="0" applyFont="1"/>
    <xf numFmtId="164" fontId="33" fillId="0" borderId="27" xfId="1" applyNumberFormat="1" applyFont="1" applyFill="1" applyBorder="1" applyAlignment="1">
      <alignment wrapText="1"/>
    </xf>
    <xf numFmtId="0" fontId="33" fillId="0" borderId="32" xfId="0" applyFont="1" applyBorder="1"/>
    <xf numFmtId="0" fontId="33" fillId="0" borderId="27" xfId="0" applyFont="1" applyBorder="1"/>
    <xf numFmtId="164" fontId="33" fillId="0" borderId="29" xfId="0" applyNumberFormat="1" applyFont="1" applyBorder="1"/>
    <xf numFmtId="0" fontId="33" fillId="0" borderId="26" xfId="0" applyFont="1" applyBorder="1"/>
    <xf numFmtId="0" fontId="21" fillId="0" borderId="27" xfId="0" applyFont="1" applyBorder="1" applyAlignment="1">
      <alignment horizontal="center" wrapText="1"/>
    </xf>
    <xf numFmtId="164" fontId="21" fillId="0" borderId="27" xfId="1" applyNumberFormat="1" applyFont="1" applyBorder="1" applyAlignment="1">
      <alignment horizontal="center"/>
    </xf>
    <xf numFmtId="164" fontId="21" fillId="0" borderId="26" xfId="1" applyNumberFormat="1" applyFont="1" applyBorder="1" applyAlignment="1">
      <alignment horizontal="center"/>
    </xf>
    <xf numFmtId="164" fontId="41" fillId="0" borderId="27" xfId="1" applyNumberFormat="1" applyFont="1" applyBorder="1" applyAlignment="1">
      <alignment horizontal="center"/>
    </xf>
    <xf numFmtId="164" fontId="21" fillId="3" borderId="27" xfId="1" applyNumberFormat="1" applyFont="1" applyFill="1" applyBorder="1" applyAlignment="1">
      <alignment horizontal="center"/>
    </xf>
    <xf numFmtId="164" fontId="20" fillId="0" borderId="27" xfId="1" applyNumberFormat="1" applyFont="1" applyBorder="1" applyAlignment="1">
      <alignment horizontal="center"/>
    </xf>
    <xf numFmtId="164" fontId="41" fillId="0" borderId="27" xfId="1" applyNumberFormat="1" applyFont="1" applyFill="1" applyBorder="1" applyAlignment="1">
      <alignment horizontal="center"/>
    </xf>
    <xf numFmtId="164" fontId="21" fillId="0" borderId="27" xfId="1" applyNumberFormat="1" applyFont="1" applyFill="1" applyBorder="1" applyAlignment="1">
      <alignment horizontal="center"/>
    </xf>
    <xf numFmtId="164" fontId="21" fillId="5" borderId="27" xfId="1" applyNumberFormat="1" applyFont="1" applyFill="1" applyBorder="1" applyAlignment="1">
      <alignment horizontal="center"/>
    </xf>
    <xf numFmtId="164" fontId="21" fillId="0" borderId="26" xfId="1" applyNumberFormat="1" applyFont="1" applyFill="1" applyBorder="1" applyAlignment="1">
      <alignment horizontal="center"/>
    </xf>
    <xf numFmtId="164" fontId="21" fillId="0" borderId="28" xfId="1" applyNumberFormat="1" applyFont="1" applyFill="1" applyBorder="1" applyAlignment="1">
      <alignment horizontal="center"/>
    </xf>
    <xf numFmtId="164" fontId="21" fillId="0" borderId="29" xfId="1" applyNumberFormat="1" applyFont="1" applyFill="1" applyBorder="1" applyAlignment="1"/>
    <xf numFmtId="164" fontId="21" fillId="4" borderId="27" xfId="1" applyNumberFormat="1" applyFont="1" applyFill="1" applyBorder="1" applyAlignment="1">
      <alignment horizontal="center"/>
    </xf>
    <xf numFmtId="164" fontId="21" fillId="7" borderId="27" xfId="1" applyNumberFormat="1" applyFont="1" applyFill="1" applyBorder="1" applyAlignment="1">
      <alignment horizontal="center"/>
    </xf>
    <xf numFmtId="164" fontId="21" fillId="5" borderId="26" xfId="1" applyNumberFormat="1" applyFont="1" applyFill="1" applyBorder="1" applyAlignment="1">
      <alignment horizontal="center"/>
    </xf>
    <xf numFmtId="164" fontId="21" fillId="0" borderId="27" xfId="1" quotePrefix="1" applyNumberFormat="1" applyFont="1" applyBorder="1" applyAlignment="1">
      <alignment horizontal="center"/>
    </xf>
    <xf numFmtId="164" fontId="41" fillId="0" borderId="27" xfId="0" applyNumberFormat="1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164" fontId="41" fillId="0" borderId="26" xfId="0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41" fontId="15" fillId="0" borderId="0" xfId="0" applyNumberFormat="1" applyFont="1"/>
    <xf numFmtId="41" fontId="71" fillId="0" borderId="15" xfId="0" applyNumberFormat="1" applyFont="1" applyBorder="1" applyAlignment="1">
      <alignment horizontal="center" wrapText="1"/>
    </xf>
    <xf numFmtId="41" fontId="71" fillId="0" borderId="18" xfId="0" applyNumberFormat="1" applyFont="1" applyBorder="1" applyAlignment="1" applyProtection="1">
      <alignment horizontal="center" wrapText="1"/>
      <protection locked="0"/>
    </xf>
    <xf numFmtId="41" fontId="15" fillId="2" borderId="23" xfId="0" applyNumberFormat="1" applyFont="1" applyFill="1" applyBorder="1"/>
    <xf numFmtId="41" fontId="15" fillId="0" borderId="18" xfId="0" applyNumberFormat="1" applyFont="1" applyBorder="1"/>
    <xf numFmtId="41" fontId="15" fillId="4" borderId="18" xfId="0" applyNumberFormat="1" applyFont="1" applyFill="1" applyBorder="1" applyProtection="1">
      <protection locked="0"/>
    </xf>
    <xf numFmtId="41" fontId="15" fillId="0" borderId="18" xfId="0" applyNumberFormat="1" applyFont="1" applyBorder="1" applyAlignment="1" applyProtection="1">
      <alignment horizontal="right"/>
      <protection locked="0"/>
    </xf>
    <xf numFmtId="41" fontId="15" fillId="0" borderId="0" xfId="0" applyNumberFormat="1" applyFont="1" applyAlignment="1">
      <alignment horizontal="center"/>
    </xf>
    <xf numFmtId="0" fontId="24" fillId="0" borderId="27" xfId="0" applyFont="1" applyBorder="1" applyAlignment="1">
      <alignment horizontal="center" wrapText="1"/>
    </xf>
    <xf numFmtId="0" fontId="33" fillId="0" borderId="27" xfId="0" applyFont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8" fontId="57" fillId="0" borderId="38" xfId="1" applyNumberFormat="1" applyFont="1" applyFill="1" applyBorder="1" applyAlignment="1">
      <alignment vertical="center"/>
    </xf>
    <xf numFmtId="37" fontId="10" fillId="0" borderId="0" xfId="4" applyFont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 2" xfId="4" xr:uid="{B5EA1EC5-3C75-4C85-8D35-9E5CDB544824}"/>
    <cellStyle name="Percent" xfId="2" builtinId="5"/>
  </cellStyles>
  <dxfs count="47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4"/>
        <name val="Aptos"/>
        <family val="2"/>
        <scheme val="none"/>
      </font>
      <border diagonalUp="0" diagonalDown="0" outline="0">
        <left/>
        <right style="thick">
          <color indexed="64"/>
        </right>
        <top/>
        <bottom/>
      </border>
    </dxf>
    <dxf>
      <font>
        <b/>
        <i/>
        <strike val="0"/>
        <outline val="0"/>
        <shadow val="0"/>
        <u val="none"/>
        <vertAlign val="baseline"/>
        <color theme="4"/>
        <name val="Aptos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numFmt numFmtId="164" formatCode="_(&quot;$&quot;* #,##0_);_(&quot;$&quot;* \(#,##0\);_(&quot;$&quot;* &quot;-&quot;??_);_(@_)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rgb="FFFF0000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vertAlign val="baseline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4"/>
        <name val="Aptos"/>
        <family val="2"/>
        <scheme val="none"/>
      </font>
      <border diagonalUp="0" diagonalDown="0" outline="0">
        <left/>
        <right style="thick">
          <color indexed="64"/>
        </right>
        <top/>
        <bottom/>
      </border>
    </dxf>
    <dxf>
      <font>
        <b/>
        <i/>
        <strike val="0"/>
        <outline val="0"/>
        <shadow val="0"/>
        <u val="none"/>
        <vertAlign val="baseline"/>
        <color theme="4"/>
        <name val="Aptos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numFmt numFmtId="164" formatCode="_(&quot;$&quot;* #,##0_);_(&quot;$&quot;* \(#,##0\);_(&quot;$&quot;* &quot;-&quot;??_);_(@_)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right style="thick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rgb="FFFF0000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strike val="0"/>
        <outline val="0"/>
        <shadow val="0"/>
        <vertAlign val="baseline"/>
        <name val="Aptos"/>
        <family val="2"/>
        <scheme val="none"/>
      </font>
      <alignment vertical="bottom" textRotation="0" wrapText="0" indent="0" justifyLastLine="0" shrinkToFit="0" readingOrder="0"/>
      <border diagonalUp="0" diagonalDown="0" outline="0">
        <left style="thick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alignment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FFCC"/>
      <color rgb="FFD030B2"/>
      <color rgb="FFFFFF99"/>
      <color rgb="FFFFE1E1"/>
      <color rgb="FFE2F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99524-2E43-4EDE-AF12-0D768FFB3CBC}" name="Table13" displayName="Table13" ref="A6:J208" totalsRowCount="1" headerRowDxfId="46" dataDxfId="45" totalsRowDxfId="44">
  <tableColumns count="10">
    <tableColumn id="1" xr3:uid="{245B9B47-B9E7-4D87-AFC9-AC38D857761F}" name="Revenue" dataDxfId="43" totalsRowDxfId="42"/>
    <tableColumn id="10" xr3:uid="{8E8AE1DF-6E01-46F7-883A-216AEC105D87}" name="FY23 ACTUALS" dataDxfId="41" totalsRowDxfId="40"/>
    <tableColumn id="12" xr3:uid="{83084341-44BB-4E7D-BEAC-9C6289D9E6F6}" name="FY24 Actuals" dataDxfId="39" totalsRowDxfId="38"/>
    <tableColumn id="5" xr3:uid="{C00EE76A-EB75-48FB-909C-5D6AF18E315D}" name="FY25 Actuals through 9/30/24" dataDxfId="37" totalsRowDxfId="36" dataCellStyle="Currency"/>
    <tableColumn id="13" xr3:uid="{4FAD80AB-4437-4E1D-AD9C-22FE57FFC32A}" name="% of budget through 9/30/24" dataDxfId="35" totalsRowDxfId="34">
      <calculatedColumnFormula>Table13[[#This Row],[FY25 Actuals through 9/30/24]]/F7</calculatedColumnFormula>
    </tableColumn>
    <tableColumn id="6" xr3:uid="{55FC01B9-EB21-4A1B-8536-02D971A38632}" name="FY25 Adopted" dataDxfId="33" totalsRowDxfId="32"/>
    <tableColumn id="11" xr3:uid="{20A47814-8E15-4A8B-A709-48DD487E8EAE}" name="FY25 Revised V3" dataDxfId="31" totalsRowDxfId="30"/>
    <tableColumn id="3" xr3:uid="{E2AA593B-7E82-40CC-903E-2F4F280D613D}" name="Program" dataDxfId="29" totalsRowDxfId="28"/>
    <tableColumn id="4" xr3:uid="{E8136F86-F9DC-463B-8FCC-144FFEA5974B}" name="Notes" dataDxfId="27" totalsRowDxfId="26"/>
    <tableColumn id="2" xr3:uid="{BCDF17D4-D39C-402C-947E-C57E3DDFD5BA}" name="Column1" dataDxfId="25" totalsRowDxfId="24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2E16A1-5748-40A0-9A05-7DF9D1C422CC}" name="Table132" displayName="Table132" ref="A6:J208" totalsRowCount="1" headerRowDxfId="23" dataDxfId="22" totalsRowDxfId="21">
  <tableColumns count="10">
    <tableColumn id="1" xr3:uid="{A3F16C30-BEFA-4944-98C2-9766B69AC96F}" name="Revenue" dataDxfId="20" totalsRowDxfId="19"/>
    <tableColumn id="10" xr3:uid="{A29A1929-434D-46B3-AC36-1B313467413F}" name="FY23 ACTUALS" dataDxfId="18" totalsRowDxfId="17"/>
    <tableColumn id="12" xr3:uid="{23514B4F-B6DA-49D6-BBE1-22C3D4CED6A4}" name="FY24 Actuals" dataDxfId="16" totalsRowDxfId="15"/>
    <tableColumn id="5" xr3:uid="{B8E18391-7833-4DDE-988B-3C3B81E8DAA2}" name="FY25 Actuals through 9/30/24" dataDxfId="14" totalsRowDxfId="13" dataCellStyle="Currency"/>
    <tableColumn id="13" xr3:uid="{E472C7A9-CEBC-44A2-8638-901E9A163297}" name="% of budget through 9/30/24" dataDxfId="12" totalsRowDxfId="11">
      <calculatedColumnFormula>Table132[[#This Row],[FY25 Actuals through 9/30/24]]/F7</calculatedColumnFormula>
    </tableColumn>
    <tableColumn id="6" xr3:uid="{45FA9203-AEF0-411A-A0D7-0091A14546C8}" name="FY25 Adopted" dataDxfId="10" totalsRowDxfId="9"/>
    <tableColumn id="11" xr3:uid="{F441797F-E357-42EC-A6BF-4884207A602E}" name="FY25 Revised V3" dataDxfId="8" totalsRowDxfId="7"/>
    <tableColumn id="3" xr3:uid="{40F949BD-9902-4CCF-A23D-1ADB451C23F8}" name="Program" dataDxfId="6" totalsRowDxfId="5"/>
    <tableColumn id="4" xr3:uid="{9861E10F-BF07-4954-85A7-A798A2A16CB3}" name="Notes" dataDxfId="4" totalsRowDxfId="3"/>
    <tableColumn id="2" xr3:uid="{992CB658-EF30-4A3E-A166-6760CED01D4B}" name="Column1" dataDxfId="2" totalsRowDxfId="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9307-CB5C-448D-871E-D58034D5086E}">
  <sheetPr>
    <tabColor rgb="FF0070C0"/>
  </sheetPr>
  <dimension ref="A1:K226"/>
  <sheetViews>
    <sheetView tabSelected="1" zoomScaleNormal="100" workbookViewId="0">
      <pane ySplit="6" topLeftCell="A7" activePane="bottomLeft" state="frozen"/>
      <selection pane="bottomLeft" activeCell="G6" sqref="G6"/>
    </sheetView>
  </sheetViews>
  <sheetFormatPr baseColWidth="10" defaultColWidth="8.83203125" defaultRowHeight="15"/>
  <cols>
    <col min="1" max="1" width="50.1640625" style="183" bestFit="1" customWidth="1"/>
    <col min="2" max="2" width="12.83203125" style="184" customWidth="1"/>
    <col min="3" max="3" width="12.83203125" style="463" customWidth="1"/>
    <col min="4" max="4" width="13.6640625" style="573" customWidth="1"/>
    <col min="5" max="5" width="12.6640625" style="180" customWidth="1"/>
    <col min="6" max="6" width="14.33203125" style="548" customWidth="1"/>
    <col min="7" max="7" width="17.1640625" style="181" customWidth="1"/>
    <col min="8" max="8" width="10.1640625" style="246" customWidth="1"/>
    <col min="9" max="9" width="80" style="83" bestFit="1" customWidth="1"/>
    <col min="10" max="10" width="10.1640625" style="83" customWidth="1"/>
    <col min="11" max="11" width="11.83203125" style="83" bestFit="1" customWidth="1"/>
    <col min="12" max="16384" width="8.83203125" style="83"/>
  </cols>
  <sheetData>
    <row r="1" spans="1:10" s="64" customFormat="1" ht="42" customHeight="1">
      <c r="A1" s="267" t="s">
        <v>69</v>
      </c>
      <c r="B1" s="584" t="s">
        <v>543</v>
      </c>
      <c r="C1" s="584"/>
      <c r="D1" s="584"/>
      <c r="E1" s="584"/>
      <c r="F1" s="548"/>
      <c r="G1" s="493"/>
      <c r="H1" s="214"/>
      <c r="I1" s="62"/>
    </row>
    <row r="2" spans="1:10" s="63" customFormat="1">
      <c r="A2" s="65" t="s">
        <v>452</v>
      </c>
      <c r="B2" s="65"/>
      <c r="C2" s="466"/>
      <c r="D2" s="488"/>
      <c r="E2" s="66"/>
      <c r="F2" s="66">
        <v>10794.08</v>
      </c>
      <c r="G2" s="494">
        <f>10982.13</f>
        <v>10982.13</v>
      </c>
      <c r="H2" s="215"/>
      <c r="I2" s="63" t="s">
        <v>667</v>
      </c>
    </row>
    <row r="3" spans="1:10" s="70" customFormat="1" ht="16">
      <c r="A3" s="68" t="s">
        <v>647</v>
      </c>
      <c r="B3" s="266">
        <v>396</v>
      </c>
      <c r="C3" s="467">
        <v>399</v>
      </c>
      <c r="D3" s="489"/>
      <c r="E3" s="69"/>
      <c r="F3" s="69">
        <v>399</v>
      </c>
      <c r="G3" s="495">
        <v>400</v>
      </c>
      <c r="H3" s="216"/>
    </row>
    <row r="4" spans="1:10" s="70" customFormat="1" ht="16">
      <c r="A4" s="67"/>
      <c r="B4" s="68"/>
      <c r="C4" s="491"/>
      <c r="D4" s="490"/>
      <c r="E4" s="71"/>
      <c r="F4" s="442"/>
      <c r="G4" s="496"/>
      <c r="H4" s="216"/>
    </row>
    <row r="5" spans="1:10" s="74" customFormat="1">
      <c r="A5" s="72"/>
      <c r="B5" s="72"/>
      <c r="C5" s="72"/>
      <c r="D5" s="73">
        <f>3/12</f>
        <v>0.25</v>
      </c>
      <c r="E5" s="73"/>
      <c r="F5" s="549"/>
      <c r="G5" s="497"/>
      <c r="H5" s="217"/>
    </row>
    <row r="6" spans="1:10" s="79" customFormat="1" ht="30">
      <c r="A6" s="75" t="s">
        <v>0</v>
      </c>
      <c r="B6" s="77" t="s">
        <v>494</v>
      </c>
      <c r="C6" s="76" t="s">
        <v>644</v>
      </c>
      <c r="D6" s="554" t="s">
        <v>658</v>
      </c>
      <c r="E6" s="272" t="s">
        <v>659</v>
      </c>
      <c r="F6" s="442" t="s">
        <v>643</v>
      </c>
      <c r="G6" s="496" t="s">
        <v>642</v>
      </c>
      <c r="H6" s="218" t="s">
        <v>211</v>
      </c>
      <c r="I6" s="78" t="s">
        <v>383</v>
      </c>
      <c r="J6" s="78" t="s">
        <v>670</v>
      </c>
    </row>
    <row r="7" spans="1:10">
      <c r="A7" s="75" t="s">
        <v>150</v>
      </c>
      <c r="B7" s="80">
        <v>62725.4</v>
      </c>
      <c r="C7" s="527">
        <v>20555</v>
      </c>
      <c r="D7" s="555">
        <v>4400</v>
      </c>
      <c r="E7" s="474"/>
      <c r="F7" s="443">
        <v>15184</v>
      </c>
      <c r="G7" s="498">
        <f>15000+184</f>
        <v>15184</v>
      </c>
      <c r="H7" s="219" t="s">
        <v>87</v>
      </c>
      <c r="I7" s="82"/>
      <c r="J7" s="99"/>
    </row>
    <row r="8" spans="1:10">
      <c r="A8" s="75" t="s">
        <v>1</v>
      </c>
      <c r="B8" s="80">
        <v>27986.53</v>
      </c>
      <c r="C8" s="527">
        <v>39273</v>
      </c>
      <c r="D8" s="555">
        <v>27123.13</v>
      </c>
      <c r="E8" s="474"/>
      <c r="F8" s="443">
        <v>20000</v>
      </c>
      <c r="G8" s="498">
        <v>60000</v>
      </c>
      <c r="H8" s="219" t="s">
        <v>87</v>
      </c>
      <c r="I8" s="84"/>
      <c r="J8" s="99"/>
    </row>
    <row r="9" spans="1:10">
      <c r="A9" s="75" t="s">
        <v>2</v>
      </c>
      <c r="B9" s="80">
        <v>19014.3</v>
      </c>
      <c r="C9" s="527">
        <v>23983</v>
      </c>
      <c r="D9" s="555">
        <v>15880</v>
      </c>
      <c r="E9" s="474"/>
      <c r="F9" s="443">
        <v>20000</v>
      </c>
      <c r="G9" s="498">
        <v>20000</v>
      </c>
      <c r="H9" s="219" t="s">
        <v>87</v>
      </c>
      <c r="I9" s="84" t="s">
        <v>645</v>
      </c>
      <c r="J9" s="99"/>
    </row>
    <row r="10" spans="1:10">
      <c r="A10" s="75" t="s">
        <v>3</v>
      </c>
      <c r="B10" s="80">
        <v>240</v>
      </c>
      <c r="C10" s="527">
        <v>640</v>
      </c>
      <c r="D10" s="555">
        <v>260</v>
      </c>
      <c r="E10" s="474"/>
      <c r="F10" s="443">
        <v>500</v>
      </c>
      <c r="G10" s="498">
        <v>500</v>
      </c>
      <c r="H10" s="219" t="s">
        <v>87</v>
      </c>
      <c r="I10" s="84" t="s">
        <v>384</v>
      </c>
      <c r="J10" s="99"/>
    </row>
    <row r="11" spans="1:10">
      <c r="A11" s="75" t="s">
        <v>401</v>
      </c>
      <c r="B11" s="80">
        <v>2042.9</v>
      </c>
      <c r="C11" s="527">
        <v>2094</v>
      </c>
      <c r="D11" s="555">
        <v>549.09</v>
      </c>
      <c r="E11" s="474"/>
      <c r="F11" s="443">
        <v>1000</v>
      </c>
      <c r="G11" s="498">
        <v>1000</v>
      </c>
      <c r="H11" s="219" t="s">
        <v>87</v>
      </c>
      <c r="I11" s="84" t="s">
        <v>646</v>
      </c>
      <c r="J11" s="99"/>
    </row>
    <row r="12" spans="1:10">
      <c r="A12" s="75" t="s">
        <v>402</v>
      </c>
      <c r="B12" s="85">
        <v>18863.87</v>
      </c>
      <c r="C12" s="530">
        <v>21318</v>
      </c>
      <c r="D12" s="555">
        <v>22053.89</v>
      </c>
      <c r="E12" s="474"/>
      <c r="F12" s="443">
        <v>20000</v>
      </c>
      <c r="G12" s="498">
        <v>22000</v>
      </c>
      <c r="H12" s="219" t="s">
        <v>87</v>
      </c>
      <c r="I12" s="84" t="s">
        <v>531</v>
      </c>
      <c r="J12" s="99"/>
    </row>
    <row r="13" spans="1:10">
      <c r="A13" s="75" t="s">
        <v>4</v>
      </c>
      <c r="B13" s="80">
        <v>1160</v>
      </c>
      <c r="C13" s="527">
        <v>358</v>
      </c>
      <c r="D13" s="555">
        <v>190</v>
      </c>
      <c r="E13" s="474"/>
      <c r="F13" s="443">
        <v>350</v>
      </c>
      <c r="G13" s="498">
        <v>190</v>
      </c>
      <c r="H13" s="219" t="s">
        <v>87</v>
      </c>
      <c r="I13" s="84" t="s">
        <v>385</v>
      </c>
      <c r="J13" s="99"/>
    </row>
    <row r="14" spans="1:10">
      <c r="A14" s="75" t="s">
        <v>387</v>
      </c>
      <c r="B14" s="80">
        <v>2997.35</v>
      </c>
      <c r="C14" s="527">
        <v>2151</v>
      </c>
      <c r="D14" s="555">
        <v>1507</v>
      </c>
      <c r="E14" s="474"/>
      <c r="F14" s="443">
        <v>1100</v>
      </c>
      <c r="G14" s="498">
        <f>2500</f>
        <v>2500</v>
      </c>
      <c r="H14" s="219" t="s">
        <v>87</v>
      </c>
      <c r="I14" s="84" t="s">
        <v>388</v>
      </c>
      <c r="J14" s="99"/>
    </row>
    <row r="15" spans="1:10">
      <c r="A15" s="75" t="s">
        <v>5</v>
      </c>
      <c r="B15" s="80">
        <v>2955.15</v>
      </c>
      <c r="C15" s="527">
        <v>2364</v>
      </c>
      <c r="D15" s="555">
        <v>20</v>
      </c>
      <c r="E15" s="474"/>
      <c r="F15" s="443">
        <v>1500</v>
      </c>
      <c r="G15" s="498">
        <v>2000</v>
      </c>
      <c r="H15" s="219" t="s">
        <v>87</v>
      </c>
      <c r="I15" s="84"/>
      <c r="J15" s="99"/>
    </row>
    <row r="16" spans="1:10">
      <c r="A16" s="75" t="s">
        <v>386</v>
      </c>
      <c r="B16" s="80">
        <v>10207</v>
      </c>
      <c r="C16" s="527">
        <v>17293</v>
      </c>
      <c r="D16" s="555">
        <v>6063</v>
      </c>
      <c r="E16" s="474"/>
      <c r="F16" s="443">
        <v>13834</v>
      </c>
      <c r="G16" s="498">
        <v>16000</v>
      </c>
      <c r="H16" s="219" t="s">
        <v>87</v>
      </c>
      <c r="I16" s="84"/>
      <c r="J16" s="99"/>
    </row>
    <row r="17" spans="1:10">
      <c r="A17" s="75" t="s">
        <v>6</v>
      </c>
      <c r="B17" s="80">
        <v>1920</v>
      </c>
      <c r="C17" s="527">
        <v>2020</v>
      </c>
      <c r="D17" s="555">
        <v>640</v>
      </c>
      <c r="E17" s="474"/>
      <c r="F17" s="443">
        <v>2000</v>
      </c>
      <c r="G17" s="498">
        <f>160*12</f>
        <v>1920</v>
      </c>
      <c r="H17" s="219" t="s">
        <v>87</v>
      </c>
      <c r="I17" s="84" t="s">
        <v>431</v>
      </c>
      <c r="J17" s="99"/>
    </row>
    <row r="18" spans="1:10">
      <c r="A18" s="75" t="s">
        <v>7</v>
      </c>
      <c r="B18" s="80">
        <f>1279.72+276.57</f>
        <v>1556.29</v>
      </c>
      <c r="C18" s="527">
        <v>4130</v>
      </c>
      <c r="D18" s="555">
        <v>76</v>
      </c>
      <c r="E18" s="474"/>
      <c r="F18" s="443">
        <v>0</v>
      </c>
      <c r="G18" s="498">
        <v>0</v>
      </c>
      <c r="H18" s="219" t="s">
        <v>87</v>
      </c>
      <c r="I18" s="84"/>
      <c r="J18" s="99"/>
    </row>
    <row r="19" spans="1:10">
      <c r="A19" s="75" t="s">
        <v>8</v>
      </c>
      <c r="B19" s="80">
        <v>45461.11</v>
      </c>
      <c r="C19" s="527">
        <v>10120</v>
      </c>
      <c r="D19" s="555">
        <v>9066.16</v>
      </c>
      <c r="E19" s="474"/>
      <c r="F19" s="443">
        <v>5000</v>
      </c>
      <c r="G19" s="498">
        <v>9400</v>
      </c>
      <c r="H19" s="219" t="s">
        <v>87</v>
      </c>
      <c r="I19" s="84" t="s">
        <v>605</v>
      </c>
      <c r="J19" s="99"/>
    </row>
    <row r="20" spans="1:10" ht="16" thickBot="1">
      <c r="A20" s="86" t="s">
        <v>9</v>
      </c>
      <c r="B20" s="87">
        <v>196694.84</v>
      </c>
      <c r="C20" s="531">
        <v>256585</v>
      </c>
      <c r="D20" s="556">
        <v>0</v>
      </c>
      <c r="E20" s="476"/>
      <c r="F20" s="444">
        <v>200000</v>
      </c>
      <c r="G20" s="499">
        <v>381000</v>
      </c>
      <c r="H20" s="220" t="s">
        <v>87</v>
      </c>
      <c r="I20" s="185" t="s">
        <v>672</v>
      </c>
      <c r="J20" s="99"/>
    </row>
    <row r="21" spans="1:10" s="93" customFormat="1">
      <c r="A21" s="90" t="s">
        <v>10</v>
      </c>
      <c r="B21" s="91">
        <f>SUM(B7:B20)</f>
        <v>393824.74</v>
      </c>
      <c r="C21" s="91">
        <f>SUM(C7:C20)</f>
        <v>402884</v>
      </c>
      <c r="D21" s="91">
        <f>SUM(D7:D20)</f>
        <v>87828.27</v>
      </c>
      <c r="E21" s="475">
        <f>D21/F21</f>
        <v>0.29230490434921524</v>
      </c>
      <c r="F21" s="91">
        <f>SUM(F7:F20)</f>
        <v>300468</v>
      </c>
      <c r="G21" s="500">
        <f>SUM(G7:G20)</f>
        <v>531694</v>
      </c>
      <c r="H21" s="221"/>
      <c r="I21" s="92"/>
      <c r="J21" s="547"/>
    </row>
    <row r="22" spans="1:10">
      <c r="A22" s="75" t="s">
        <v>11</v>
      </c>
      <c r="B22" s="94"/>
      <c r="C22" s="460"/>
      <c r="D22" s="557"/>
      <c r="E22" s="81"/>
      <c r="F22" s="445"/>
      <c r="G22" s="501"/>
      <c r="H22" s="222"/>
      <c r="I22" s="84"/>
      <c r="J22" s="99"/>
    </row>
    <row r="23" spans="1:10">
      <c r="A23" s="95" t="s">
        <v>153</v>
      </c>
      <c r="B23" s="96">
        <v>100754</v>
      </c>
      <c r="C23" s="532">
        <v>8498</v>
      </c>
      <c r="D23" s="558">
        <v>0</v>
      </c>
      <c r="E23" s="97"/>
      <c r="F23" s="446">
        <v>100000</v>
      </c>
      <c r="G23" s="502">
        <v>50000</v>
      </c>
      <c r="H23" s="223" t="s">
        <v>87</v>
      </c>
      <c r="I23" s="186" t="s">
        <v>474</v>
      </c>
      <c r="J23" s="99"/>
    </row>
    <row r="24" spans="1:10">
      <c r="A24" s="98" t="s">
        <v>660</v>
      </c>
      <c r="B24" s="80">
        <v>0</v>
      </c>
      <c r="C24" s="527">
        <v>97178</v>
      </c>
      <c r="D24" s="555">
        <v>29089.919999999998</v>
      </c>
      <c r="E24" s="81"/>
      <c r="F24" s="443">
        <v>90000</v>
      </c>
      <c r="G24" s="498">
        <f>9697*10</f>
        <v>96970</v>
      </c>
      <c r="H24" s="219" t="s">
        <v>87</v>
      </c>
      <c r="I24" s="84"/>
      <c r="J24" s="99"/>
    </row>
    <row r="25" spans="1:10" s="99" customFormat="1">
      <c r="A25" s="75" t="s">
        <v>451</v>
      </c>
      <c r="B25" s="80">
        <v>10749.6</v>
      </c>
      <c r="C25" s="527">
        <v>7897</v>
      </c>
      <c r="D25" s="555">
        <v>0</v>
      </c>
      <c r="E25" s="81"/>
      <c r="F25" s="443">
        <v>7800</v>
      </c>
      <c r="G25" s="498">
        <v>7800</v>
      </c>
      <c r="H25" s="219" t="s">
        <v>87</v>
      </c>
      <c r="I25" s="84" t="s">
        <v>674</v>
      </c>
    </row>
    <row r="26" spans="1:10">
      <c r="A26" s="75" t="s">
        <v>12</v>
      </c>
      <c r="B26" s="80">
        <v>140229.57</v>
      </c>
      <c r="C26" s="527">
        <v>156897</v>
      </c>
      <c r="D26" s="555">
        <v>51829.78</v>
      </c>
      <c r="E26" s="81"/>
      <c r="F26" s="443">
        <v>156000</v>
      </c>
      <c r="G26" s="498">
        <f>12955+(12962*11)</f>
        <v>155537</v>
      </c>
      <c r="H26" s="219" t="s">
        <v>87</v>
      </c>
      <c r="I26" s="84" t="s">
        <v>391</v>
      </c>
      <c r="J26" s="99"/>
    </row>
    <row r="27" spans="1:10">
      <c r="A27" s="75" t="s">
        <v>13</v>
      </c>
      <c r="B27" s="80">
        <v>335.82</v>
      </c>
      <c r="C27" s="527">
        <v>750</v>
      </c>
      <c r="D27" s="555">
        <v>433.41</v>
      </c>
      <c r="E27" s="81"/>
      <c r="F27" s="443">
        <v>350</v>
      </c>
      <c r="G27" s="498">
        <v>433</v>
      </c>
      <c r="H27" s="219" t="s">
        <v>87</v>
      </c>
      <c r="I27" s="84" t="s">
        <v>673</v>
      </c>
      <c r="J27" s="99"/>
    </row>
    <row r="28" spans="1:10">
      <c r="A28" s="75" t="s">
        <v>454</v>
      </c>
      <c r="B28" s="80">
        <v>318.14</v>
      </c>
      <c r="C28" s="527">
        <v>0</v>
      </c>
      <c r="D28" s="555">
        <v>0</v>
      </c>
      <c r="E28" s="81"/>
      <c r="F28" s="443">
        <v>0</v>
      </c>
      <c r="G28" s="498">
        <v>0</v>
      </c>
      <c r="H28" s="219" t="s">
        <v>87</v>
      </c>
      <c r="I28" s="84"/>
      <c r="J28" s="99"/>
    </row>
    <row r="29" spans="1:10">
      <c r="A29" s="75" t="s">
        <v>661</v>
      </c>
      <c r="B29" s="80">
        <v>1965.19</v>
      </c>
      <c r="C29" s="527">
        <v>2070</v>
      </c>
      <c r="D29" s="555">
        <v>0</v>
      </c>
      <c r="E29" s="81"/>
      <c r="F29" s="443">
        <v>1500</v>
      </c>
      <c r="G29" s="498">
        <v>0</v>
      </c>
      <c r="H29" s="219" t="s">
        <v>87</v>
      </c>
      <c r="I29" s="84"/>
      <c r="J29" s="99"/>
    </row>
    <row r="30" spans="1:10" s="99" customFormat="1">
      <c r="A30" s="98" t="s">
        <v>603</v>
      </c>
      <c r="B30" s="455">
        <v>0</v>
      </c>
      <c r="C30" s="533">
        <v>147358</v>
      </c>
      <c r="D30" s="555">
        <v>132172.74</v>
      </c>
      <c r="E30" s="471"/>
      <c r="F30" s="456">
        <v>0</v>
      </c>
      <c r="G30" s="498">
        <v>132173</v>
      </c>
      <c r="H30" s="219" t="s">
        <v>604</v>
      </c>
      <c r="I30" s="84" t="s">
        <v>606</v>
      </c>
    </row>
    <row r="31" spans="1:10" ht="16" thickBot="1">
      <c r="A31" s="86" t="s">
        <v>662</v>
      </c>
      <c r="B31" s="87">
        <v>0</v>
      </c>
      <c r="C31" s="531">
        <v>310</v>
      </c>
      <c r="D31" s="556">
        <v>0</v>
      </c>
      <c r="E31" s="88"/>
      <c r="F31" s="444">
        <v>300</v>
      </c>
      <c r="G31" s="499">
        <v>300</v>
      </c>
      <c r="H31" s="220" t="s">
        <v>87</v>
      </c>
      <c r="I31" s="89"/>
      <c r="J31" s="99"/>
    </row>
    <row r="32" spans="1:10" s="93" customFormat="1">
      <c r="A32" s="90" t="s">
        <v>14</v>
      </c>
      <c r="B32" s="91">
        <f>SUM(B23:B31)</f>
        <v>254352.32000000004</v>
      </c>
      <c r="C32" s="91">
        <f>SUM(C23:C31)</f>
        <v>420958</v>
      </c>
      <c r="D32" s="91">
        <f>SUM(D23:D31)</f>
        <v>213525.84999999998</v>
      </c>
      <c r="E32" s="475">
        <f>D32/F32</f>
        <v>0.59987596572552315</v>
      </c>
      <c r="F32" s="91">
        <f>SUM(F23:F31)</f>
        <v>355950</v>
      </c>
      <c r="G32" s="500">
        <f>SUM(G23:G31)</f>
        <v>443213</v>
      </c>
      <c r="H32" s="221"/>
      <c r="I32" s="92"/>
      <c r="J32" s="547"/>
    </row>
    <row r="33" spans="1:11">
      <c r="A33" s="75" t="s">
        <v>15</v>
      </c>
      <c r="B33" s="94"/>
      <c r="C33" s="460"/>
      <c r="D33" s="555"/>
      <c r="E33" s="81"/>
      <c r="F33" s="445"/>
      <c r="G33" s="501"/>
      <c r="H33" s="222"/>
      <c r="I33" s="84"/>
      <c r="J33" s="99"/>
    </row>
    <row r="34" spans="1:11" s="101" customFormat="1">
      <c r="A34" s="100" t="s">
        <v>403</v>
      </c>
      <c r="B34" s="80">
        <v>13508</v>
      </c>
      <c r="C34" s="527">
        <v>6127</v>
      </c>
      <c r="D34" s="555">
        <v>0</v>
      </c>
      <c r="E34" s="81"/>
      <c r="F34" s="445">
        <v>0</v>
      </c>
      <c r="G34" s="501">
        <v>0</v>
      </c>
      <c r="H34" s="219" t="s">
        <v>87</v>
      </c>
      <c r="I34" s="84"/>
      <c r="J34" s="99"/>
    </row>
    <row r="35" spans="1:11" s="99" customFormat="1">
      <c r="A35" s="100" t="s">
        <v>532</v>
      </c>
      <c r="B35" s="80">
        <v>0</v>
      </c>
      <c r="C35" s="527">
        <v>90718</v>
      </c>
      <c r="D35" s="559">
        <v>15117.02</v>
      </c>
      <c r="E35" s="102"/>
      <c r="F35" s="445">
        <v>90000</v>
      </c>
      <c r="G35" s="501">
        <v>65350.29</v>
      </c>
      <c r="H35" s="219" t="s">
        <v>87</v>
      </c>
      <c r="I35" s="84" t="s">
        <v>606</v>
      </c>
    </row>
    <row r="36" spans="1:11" s="101" customFormat="1">
      <c r="A36" s="100" t="s">
        <v>663</v>
      </c>
      <c r="B36" s="80">
        <v>8911.91</v>
      </c>
      <c r="C36" s="527">
        <v>11491</v>
      </c>
      <c r="D36" s="555">
        <v>0</v>
      </c>
      <c r="E36" s="81"/>
      <c r="F36" s="445">
        <v>8000</v>
      </c>
      <c r="G36" s="501">
        <v>8000</v>
      </c>
      <c r="H36" s="219" t="s">
        <v>87</v>
      </c>
      <c r="I36" s="84"/>
      <c r="J36" s="99"/>
    </row>
    <row r="37" spans="1:11" s="101" customFormat="1" ht="16" thickBot="1">
      <c r="A37" s="103" t="s">
        <v>453</v>
      </c>
      <c r="B37" s="87">
        <v>117688</v>
      </c>
      <c r="C37" s="531">
        <v>0</v>
      </c>
      <c r="D37" s="556">
        <v>0</v>
      </c>
      <c r="E37" s="88"/>
      <c r="F37" s="447">
        <v>0</v>
      </c>
      <c r="G37" s="503">
        <v>0</v>
      </c>
      <c r="H37" s="220" t="s">
        <v>87</v>
      </c>
      <c r="I37" s="89"/>
      <c r="J37" s="99"/>
    </row>
    <row r="38" spans="1:11" s="64" customFormat="1">
      <c r="A38" s="104" t="s">
        <v>16</v>
      </c>
      <c r="B38" s="105">
        <f>SUM(B34:B37)</f>
        <v>140107.91</v>
      </c>
      <c r="C38" s="105">
        <f>SUM(C34:C37)</f>
        <v>108336</v>
      </c>
      <c r="D38" s="105">
        <f>SUM(D34:D37)</f>
        <v>15117.02</v>
      </c>
      <c r="E38" s="475">
        <f>D38/F38</f>
        <v>0.15425530612244898</v>
      </c>
      <c r="F38" s="105">
        <f>SUM(F34:F37)</f>
        <v>98000</v>
      </c>
      <c r="G38" s="504">
        <f>SUM(G34:G37)</f>
        <v>73350.290000000008</v>
      </c>
      <c r="H38" s="224"/>
      <c r="I38" s="106"/>
      <c r="J38" s="63"/>
    </row>
    <row r="39" spans="1:11">
      <c r="A39" s="75" t="s">
        <v>17</v>
      </c>
      <c r="B39" s="94"/>
      <c r="C39" s="460"/>
      <c r="D39" s="555"/>
      <c r="E39" s="81"/>
      <c r="F39" s="445"/>
      <c r="G39" s="501"/>
      <c r="H39" s="222"/>
      <c r="I39" s="84"/>
      <c r="J39" s="99"/>
    </row>
    <row r="40" spans="1:11" ht="16" thickBot="1">
      <c r="A40" s="86" t="s">
        <v>18</v>
      </c>
      <c r="B40" s="87">
        <v>3657198.62</v>
      </c>
      <c r="C40" s="531">
        <v>4101752</v>
      </c>
      <c r="D40" s="556">
        <v>1076040</v>
      </c>
      <c r="E40" s="88"/>
      <c r="F40" s="88">
        <v>4306840</v>
      </c>
      <c r="G40" s="505">
        <f>G2*G3</f>
        <v>4392852</v>
      </c>
      <c r="H40" s="220" t="s">
        <v>87</v>
      </c>
      <c r="I40" s="89"/>
      <c r="J40" s="99"/>
    </row>
    <row r="41" spans="1:11" s="64" customFormat="1" ht="16" thickBot="1">
      <c r="A41" s="187" t="s">
        <v>19</v>
      </c>
      <c r="B41" s="188">
        <f>SUM(B40)</f>
        <v>3657198.62</v>
      </c>
      <c r="C41" s="188">
        <f t="shared" ref="C41:G41" si="0">SUM(C40)</f>
        <v>4101752</v>
      </c>
      <c r="D41" s="188">
        <f t="shared" si="0"/>
        <v>1076040</v>
      </c>
      <c r="E41" s="477">
        <f>Table13[[#This Row],[FY25 Actuals through 9/30/24]]/Table13[[#This Row],[FY25 Adopted]]</f>
        <v>0.24984443350577221</v>
      </c>
      <c r="F41" s="188">
        <f t="shared" si="0"/>
        <v>4306840</v>
      </c>
      <c r="G41" s="506">
        <f t="shared" si="0"/>
        <v>4392852</v>
      </c>
      <c r="H41" s="225"/>
      <c r="I41" s="107"/>
      <c r="J41" s="63"/>
    </row>
    <row r="42" spans="1:11" s="64" customFormat="1" ht="17" thickBot="1">
      <c r="A42" s="108" t="s">
        <v>20</v>
      </c>
      <c r="B42" s="109">
        <f>B21+B32+B38+B41</f>
        <v>4445483.59</v>
      </c>
      <c r="C42" s="109">
        <f t="shared" ref="C42:D42" si="1">C21+C32+C38+C41</f>
        <v>5033930</v>
      </c>
      <c r="D42" s="109">
        <f t="shared" si="1"/>
        <v>1392511.1400000001</v>
      </c>
      <c r="E42" s="478">
        <f>D42/F42</f>
        <v>0.27513142779917565</v>
      </c>
      <c r="F42" s="109">
        <f>F21+F32+F38+F41</f>
        <v>5061258</v>
      </c>
      <c r="G42" s="507">
        <f>G21+G32+G38+G41</f>
        <v>5441109.29</v>
      </c>
      <c r="H42" s="226"/>
      <c r="I42" s="189">
        <f>Table13[[#This Row],[FY25 Actuals through 9/30/24]]+D215</f>
        <v>1442943.7200000002</v>
      </c>
      <c r="J42" s="63"/>
      <c r="K42" s="465">
        <f>Table13[[#This Row],[FY25 Adopted]]+F215</f>
        <v>5363853</v>
      </c>
    </row>
    <row r="43" spans="1:11">
      <c r="A43" s="75"/>
      <c r="B43" s="94"/>
      <c r="C43" s="460"/>
      <c r="D43" s="560"/>
      <c r="E43" s="110"/>
      <c r="F43" s="445"/>
      <c r="G43" s="501"/>
      <c r="H43" s="222"/>
      <c r="I43" s="84"/>
      <c r="J43" s="99"/>
    </row>
    <row r="44" spans="1:11">
      <c r="A44" s="203" t="s">
        <v>21</v>
      </c>
      <c r="B44" s="94"/>
      <c r="C44" s="460"/>
      <c r="D44" s="560"/>
      <c r="E44" s="110"/>
      <c r="F44" s="445"/>
      <c r="G44" s="501"/>
      <c r="H44" s="222"/>
      <c r="I44" s="84"/>
      <c r="J44" s="99"/>
    </row>
    <row r="45" spans="1:11">
      <c r="A45" s="111" t="s">
        <v>139</v>
      </c>
      <c r="B45" s="94"/>
      <c r="C45" s="460"/>
      <c r="D45" s="560"/>
      <c r="E45" s="110"/>
      <c r="F45" s="445"/>
      <c r="G45" s="501"/>
      <c r="H45" s="222"/>
      <c r="I45" s="84"/>
      <c r="J45" s="99"/>
    </row>
    <row r="46" spans="1:11" s="117" customFormat="1">
      <c r="A46" s="247" t="s">
        <v>592</v>
      </c>
      <c r="B46" s="113">
        <v>272632.27</v>
      </c>
      <c r="C46" s="112">
        <v>310139</v>
      </c>
      <c r="D46" s="561">
        <v>54252</v>
      </c>
      <c r="E46" s="114"/>
      <c r="F46" s="445">
        <v>320513</v>
      </c>
      <c r="G46" s="501">
        <f>'FY25 PPSEL Salary &amp; Benefits'!M87</f>
        <v>325512</v>
      </c>
      <c r="H46" s="259" t="s">
        <v>107</v>
      </c>
      <c r="I46" s="116"/>
      <c r="J46" s="120"/>
    </row>
    <row r="47" spans="1:11" s="117" customFormat="1">
      <c r="A47" s="265" t="s">
        <v>593</v>
      </c>
      <c r="B47" s="118">
        <v>0</v>
      </c>
      <c r="C47" s="534">
        <v>0</v>
      </c>
      <c r="D47" s="562">
        <v>0</v>
      </c>
      <c r="E47" s="119"/>
      <c r="F47" s="448">
        <v>0</v>
      </c>
      <c r="G47" s="508">
        <v>0</v>
      </c>
      <c r="H47" s="228" t="s">
        <v>88</v>
      </c>
      <c r="I47" s="190"/>
      <c r="J47" s="120"/>
    </row>
    <row r="48" spans="1:11" s="117" customFormat="1">
      <c r="A48" s="265" t="s">
        <v>594</v>
      </c>
      <c r="B48" s="118">
        <v>1101785.47</v>
      </c>
      <c r="C48" s="534">
        <v>1308406</v>
      </c>
      <c r="D48" s="562">
        <v>244682.17</v>
      </c>
      <c r="E48" s="119"/>
      <c r="F48" s="448">
        <v>1337885</v>
      </c>
      <c r="G48" s="508">
        <f>'FY25 PPSEL Salary &amp; Benefits'!M75+'FY25 PPSEL Salary &amp; Benefits'!M76+'FY25 PPSEL Salary &amp; Benefits'!M74+'FY25 PPSEL Salary &amp; Benefits'!M84</f>
        <v>1450506.8</v>
      </c>
      <c r="H48" s="228" t="s">
        <v>97</v>
      </c>
      <c r="I48" s="190" t="s">
        <v>542</v>
      </c>
      <c r="J48" s="120"/>
    </row>
    <row r="49" spans="1:11" s="117" customFormat="1">
      <c r="A49" s="265" t="s">
        <v>595</v>
      </c>
      <c r="B49" s="118">
        <v>0</v>
      </c>
      <c r="C49" s="534">
        <v>0</v>
      </c>
      <c r="D49" s="562">
        <v>0</v>
      </c>
      <c r="E49" s="119"/>
      <c r="F49" s="448">
        <v>0</v>
      </c>
      <c r="G49" s="508">
        <v>0</v>
      </c>
      <c r="H49" s="228" t="s">
        <v>123</v>
      </c>
      <c r="I49" s="190"/>
      <c r="J49" s="120"/>
    </row>
    <row r="50" spans="1:11" s="117" customFormat="1">
      <c r="A50" s="265" t="s">
        <v>596</v>
      </c>
      <c r="B50" s="118">
        <v>0</v>
      </c>
      <c r="C50" s="534">
        <v>0</v>
      </c>
      <c r="D50" s="562">
        <v>0</v>
      </c>
      <c r="E50" s="119"/>
      <c r="F50" s="448">
        <v>0</v>
      </c>
      <c r="G50" s="508">
        <v>0</v>
      </c>
      <c r="H50" s="228" t="s">
        <v>102</v>
      </c>
      <c r="I50" s="190"/>
      <c r="J50" s="120"/>
    </row>
    <row r="51" spans="1:11" s="120" customFormat="1">
      <c r="A51" s="247" t="s">
        <v>463</v>
      </c>
      <c r="B51" s="113">
        <v>0</v>
      </c>
      <c r="C51" s="112">
        <v>74901</v>
      </c>
      <c r="D51" s="561">
        <v>16254.51</v>
      </c>
      <c r="E51" s="114"/>
      <c r="F51" s="445">
        <v>149436</v>
      </c>
      <c r="G51" s="501">
        <f>'FY25 PPSEL Salary &amp; Benefits'!M80</f>
        <v>240531.27</v>
      </c>
      <c r="H51" s="227" t="s">
        <v>461</v>
      </c>
      <c r="I51" s="116"/>
    </row>
    <row r="52" spans="1:11" s="117" customFormat="1">
      <c r="A52" s="247" t="s">
        <v>597</v>
      </c>
      <c r="B52" s="113">
        <v>238419.04</v>
      </c>
      <c r="C52" s="112">
        <v>241176</v>
      </c>
      <c r="D52" s="561">
        <v>37316.160000000003</v>
      </c>
      <c r="E52" s="114"/>
      <c r="F52" s="445">
        <v>224468</v>
      </c>
      <c r="G52" s="501">
        <f>'FY25 PPSEL Salary &amp; Benefits'!M79</f>
        <v>223897</v>
      </c>
      <c r="H52" s="227" t="s">
        <v>124</v>
      </c>
      <c r="I52" s="116"/>
      <c r="J52" s="120"/>
    </row>
    <row r="53" spans="1:11" s="132" customFormat="1">
      <c r="A53" s="248" t="s">
        <v>549</v>
      </c>
      <c r="B53" s="213">
        <v>0</v>
      </c>
      <c r="C53" s="112">
        <v>0</v>
      </c>
      <c r="D53" s="561">
        <v>13102.32</v>
      </c>
      <c r="E53" s="114"/>
      <c r="F53" s="445">
        <v>0</v>
      </c>
      <c r="G53" s="501">
        <f>'FY25 PPSEL Salary &amp; Benefits'!M81</f>
        <v>100838</v>
      </c>
      <c r="H53" s="257">
        <v>2130</v>
      </c>
      <c r="I53" s="84" t="s">
        <v>675</v>
      </c>
      <c r="J53" s="120"/>
    </row>
    <row r="54" spans="1:11" s="132" customFormat="1">
      <c r="A54" s="248" t="s">
        <v>548</v>
      </c>
      <c r="B54" s="213">
        <v>0</v>
      </c>
      <c r="C54" s="112">
        <v>6162</v>
      </c>
      <c r="D54" s="561">
        <v>5961.66</v>
      </c>
      <c r="E54" s="114"/>
      <c r="F54" s="445">
        <v>28440</v>
      </c>
      <c r="G54" s="501">
        <f>'FY25 PPSEL Salary &amp; Benefits'!M83</f>
        <v>35770</v>
      </c>
      <c r="H54" s="257">
        <v>2140</v>
      </c>
      <c r="I54" s="129"/>
      <c r="J54" s="120"/>
    </row>
    <row r="55" spans="1:11" s="132" customFormat="1">
      <c r="A55" s="249" t="s">
        <v>466</v>
      </c>
      <c r="B55" s="213">
        <v>0</v>
      </c>
      <c r="C55" s="112">
        <v>36494</v>
      </c>
      <c r="D55" s="561">
        <v>8990.59</v>
      </c>
      <c r="E55" s="114"/>
      <c r="F55" s="445">
        <v>80686</v>
      </c>
      <c r="G55" s="501">
        <f>'FY25 PPSEL Salary &amp; Benefits'!M82</f>
        <v>70517</v>
      </c>
      <c r="H55" s="258">
        <v>2150</v>
      </c>
      <c r="I55" s="116" t="s">
        <v>550</v>
      </c>
      <c r="J55" s="120"/>
    </row>
    <row r="56" spans="1:11" s="117" customFormat="1">
      <c r="A56" s="247" t="s">
        <v>598</v>
      </c>
      <c r="B56" s="113">
        <v>8044.47</v>
      </c>
      <c r="C56" s="112">
        <v>15865</v>
      </c>
      <c r="D56" s="561">
        <v>3279.01</v>
      </c>
      <c r="E56" s="114"/>
      <c r="F56" s="445">
        <v>17195</v>
      </c>
      <c r="G56" s="501">
        <f>'FY25 PPSEL Salary &amp; Benefits'!M90</f>
        <v>9000</v>
      </c>
      <c r="H56" s="227" t="s">
        <v>218</v>
      </c>
      <c r="I56" s="116"/>
      <c r="J56" s="120"/>
    </row>
    <row r="57" spans="1:11" s="117" customFormat="1">
      <c r="A57" s="247" t="s">
        <v>599</v>
      </c>
      <c r="B57" s="113">
        <v>23171.94</v>
      </c>
      <c r="C57" s="112">
        <v>24481</v>
      </c>
      <c r="D57" s="561">
        <v>3788.81</v>
      </c>
      <c r="E57" s="114"/>
      <c r="F57" s="445">
        <v>25601</v>
      </c>
      <c r="G57" s="501">
        <f>'FY25 PPSEL Salary &amp; Benefits'!M91</f>
        <v>25000</v>
      </c>
      <c r="H57" s="227" t="s">
        <v>124</v>
      </c>
      <c r="I57" s="116"/>
      <c r="J57" s="120"/>
    </row>
    <row r="58" spans="1:11" s="117" customFormat="1">
      <c r="A58" s="247" t="s">
        <v>600</v>
      </c>
      <c r="B58" s="113">
        <v>40597</v>
      </c>
      <c r="C58" s="112">
        <v>69366</v>
      </c>
      <c r="D58" s="561">
        <v>23053.67</v>
      </c>
      <c r="E58" s="114"/>
      <c r="F58" s="445">
        <v>67151</v>
      </c>
      <c r="G58" s="501">
        <f>'FY25 PPSEL Salary &amp; Benefits'!M77</f>
        <v>33072.94</v>
      </c>
      <c r="H58" s="227" t="s">
        <v>124</v>
      </c>
      <c r="I58" s="116"/>
      <c r="J58" s="120"/>
    </row>
    <row r="59" spans="1:11" s="117" customFormat="1">
      <c r="A59" s="247" t="s">
        <v>601</v>
      </c>
      <c r="B59" s="113">
        <v>0</v>
      </c>
      <c r="C59" s="112">
        <v>58252</v>
      </c>
      <c r="D59" s="561">
        <v>18358.46</v>
      </c>
      <c r="E59" s="114"/>
      <c r="F59" s="445">
        <v>67270</v>
      </c>
      <c r="G59" s="501">
        <f>'FY25 PPSEL Salary &amp; Benefits'!M78</f>
        <v>65102.18</v>
      </c>
      <c r="H59" s="219">
        <v>1700</v>
      </c>
      <c r="I59" s="116" t="s">
        <v>617</v>
      </c>
      <c r="J59" s="120"/>
    </row>
    <row r="60" spans="1:11" s="117" customFormat="1">
      <c r="A60" s="247" t="s">
        <v>613</v>
      </c>
      <c r="B60" s="113">
        <v>69310.350000000006</v>
      </c>
      <c r="C60" s="112">
        <v>79109</v>
      </c>
      <c r="D60" s="561">
        <v>13650.02</v>
      </c>
      <c r="E60" s="114"/>
      <c r="F60" s="445">
        <v>80850</v>
      </c>
      <c r="G60" s="501">
        <f>'FY25 PPSEL Salary &amp; Benefits'!M88</f>
        <v>81900</v>
      </c>
      <c r="H60" s="259" t="s">
        <v>554</v>
      </c>
      <c r="I60" s="116"/>
      <c r="J60" s="120"/>
    </row>
    <row r="61" spans="1:11" s="117" customFormat="1" ht="16" thickBot="1">
      <c r="A61" s="264" t="s">
        <v>602</v>
      </c>
      <c r="B61" s="121">
        <v>27775.040000000001</v>
      </c>
      <c r="C61" s="535">
        <v>29685</v>
      </c>
      <c r="D61" s="563">
        <v>5251.03</v>
      </c>
      <c r="E61" s="122"/>
      <c r="F61" s="447">
        <v>30765</v>
      </c>
      <c r="G61" s="503">
        <f>'FY25 PPSEL Salary &amp; Benefits'!M89</f>
        <v>30765</v>
      </c>
      <c r="H61" s="261" t="s">
        <v>116</v>
      </c>
      <c r="I61" s="124"/>
      <c r="J61" s="120"/>
    </row>
    <row r="62" spans="1:11" s="64" customFormat="1">
      <c r="A62" s="104" t="s">
        <v>138</v>
      </c>
      <c r="B62" s="105">
        <f>SUM(B46:B61)</f>
        <v>1781735.58</v>
      </c>
      <c r="C62" s="105">
        <f t="shared" ref="C62:G62" si="2">SUM(C46:C61)</f>
        <v>2254036</v>
      </c>
      <c r="D62" s="105">
        <f>SUM(D46:D61)</f>
        <v>447940.41000000015</v>
      </c>
      <c r="E62" s="480">
        <f>D62/F62</f>
        <v>0.18431789602758558</v>
      </c>
      <c r="F62" s="105">
        <f t="shared" si="2"/>
        <v>2430260</v>
      </c>
      <c r="G62" s="504">
        <f t="shared" si="2"/>
        <v>2692412.1900000004</v>
      </c>
      <c r="H62" s="481"/>
      <c r="I62" s="106">
        <f>Table13[[#This Row],[FY25 Actuals through 9/30/24]]+SUM(D112:D123)</f>
        <v>671690.41000000015</v>
      </c>
      <c r="J62" s="63"/>
      <c r="K62" s="465">
        <f>Table13[[#This Row],[FY25 Adopted]]+F124</f>
        <v>3512914</v>
      </c>
    </row>
    <row r="63" spans="1:11">
      <c r="A63" s="111" t="s">
        <v>137</v>
      </c>
      <c r="B63" s="94"/>
      <c r="C63" s="460"/>
      <c r="D63" s="560"/>
      <c r="E63" s="110"/>
      <c r="F63" s="445"/>
      <c r="G63" s="501"/>
      <c r="H63" s="222"/>
      <c r="I63" s="84"/>
      <c r="J63" s="99"/>
    </row>
    <row r="64" spans="1:11">
      <c r="A64" s="250" t="s">
        <v>413</v>
      </c>
      <c r="B64" s="113">
        <v>1394.02</v>
      </c>
      <c r="C64" s="112">
        <v>1366</v>
      </c>
      <c r="D64" s="561">
        <v>261.14999999999998</v>
      </c>
      <c r="E64" s="114"/>
      <c r="F64" s="445">
        <v>1500</v>
      </c>
      <c r="G64" s="501">
        <f>1500</f>
        <v>1500</v>
      </c>
      <c r="H64" s="259" t="s">
        <v>107</v>
      </c>
      <c r="I64" s="116"/>
      <c r="J64" s="99"/>
    </row>
    <row r="65" spans="1:10">
      <c r="A65" s="250" t="s">
        <v>467</v>
      </c>
      <c r="B65" s="113">
        <v>6778.09</v>
      </c>
      <c r="C65" s="112">
        <v>7333</v>
      </c>
      <c r="D65" s="561">
        <v>1649.12</v>
      </c>
      <c r="E65" s="114"/>
      <c r="F65" s="445">
        <v>7500</v>
      </c>
      <c r="G65" s="501">
        <f>7500</f>
        <v>7500</v>
      </c>
      <c r="H65" s="227" t="s">
        <v>124</v>
      </c>
      <c r="I65" s="116"/>
      <c r="J65" s="99"/>
    </row>
    <row r="66" spans="1:10" s="99" customFormat="1">
      <c r="A66" s="250" t="s">
        <v>469</v>
      </c>
      <c r="B66" s="113">
        <v>0</v>
      </c>
      <c r="C66" s="112">
        <v>523</v>
      </c>
      <c r="D66" s="561">
        <v>136.49</v>
      </c>
      <c r="E66" s="114"/>
      <c r="F66" s="445">
        <v>550</v>
      </c>
      <c r="G66" s="501">
        <f>550</f>
        <v>550</v>
      </c>
      <c r="H66" s="227" t="s">
        <v>461</v>
      </c>
      <c r="I66" s="116"/>
    </row>
    <row r="67" spans="1:10">
      <c r="A67" s="250" t="s">
        <v>591</v>
      </c>
      <c r="B67" s="113">
        <v>1048.04</v>
      </c>
      <c r="C67" s="112">
        <v>1260</v>
      </c>
      <c r="D67" s="561">
        <v>229.89</v>
      </c>
      <c r="E67" s="114"/>
      <c r="F67" s="445">
        <v>1300</v>
      </c>
      <c r="G67" s="501">
        <f>1300</f>
        <v>1300</v>
      </c>
      <c r="H67" s="227" t="s">
        <v>124</v>
      </c>
      <c r="I67" s="116"/>
      <c r="J67" s="99"/>
    </row>
    <row r="68" spans="1:10" s="253" customFormat="1">
      <c r="A68" s="250" t="s">
        <v>551</v>
      </c>
      <c r="B68" s="113">
        <v>0</v>
      </c>
      <c r="C68" s="112">
        <v>0</v>
      </c>
      <c r="D68" s="561">
        <v>78.900000000000006</v>
      </c>
      <c r="E68" s="114"/>
      <c r="F68" s="445">
        <v>0</v>
      </c>
      <c r="G68" s="501">
        <f>'FY25 PPSEL Salary &amp; Benefits'!T81</f>
        <v>82.800000000000011</v>
      </c>
      <c r="H68" s="258">
        <v>2150</v>
      </c>
      <c r="I68" s="129"/>
      <c r="J68" s="63"/>
    </row>
    <row r="69" spans="1:10" s="253" customFormat="1">
      <c r="A69" s="250" t="s">
        <v>555</v>
      </c>
      <c r="B69" s="113">
        <v>0</v>
      </c>
      <c r="C69" s="112">
        <v>0</v>
      </c>
      <c r="D69" s="561">
        <v>0</v>
      </c>
      <c r="E69" s="472"/>
      <c r="F69" s="449">
        <v>0</v>
      </c>
      <c r="G69" s="501">
        <f>'FY25 PPSEL Salary &amp; Benefits'!T83</f>
        <v>0</v>
      </c>
      <c r="H69" s="257" t="s">
        <v>552</v>
      </c>
      <c r="I69" s="129"/>
      <c r="J69" s="63"/>
    </row>
    <row r="70" spans="1:10" s="253" customFormat="1">
      <c r="A70" s="250" t="s">
        <v>553</v>
      </c>
      <c r="B70" s="113">
        <v>0</v>
      </c>
      <c r="C70" s="112">
        <v>172</v>
      </c>
      <c r="D70" s="561">
        <v>74.28</v>
      </c>
      <c r="E70" s="472"/>
      <c r="F70" s="449">
        <v>200</v>
      </c>
      <c r="G70" s="501">
        <f>'FY25 PPSEL Salary &amp; Benefits'!T82</f>
        <v>43.2</v>
      </c>
      <c r="H70" s="257" t="s">
        <v>547</v>
      </c>
      <c r="I70" s="129"/>
      <c r="J70" s="63"/>
    </row>
    <row r="71" spans="1:10">
      <c r="A71" s="250" t="s">
        <v>414</v>
      </c>
      <c r="B71" s="113">
        <v>1278.48</v>
      </c>
      <c r="C71" s="112">
        <v>171</v>
      </c>
      <c r="D71" s="561">
        <v>132.99</v>
      </c>
      <c r="E71" s="114"/>
      <c r="F71" s="445">
        <v>150</v>
      </c>
      <c r="G71" s="501">
        <f>150</f>
        <v>150</v>
      </c>
      <c r="H71" s="227" t="s">
        <v>124</v>
      </c>
      <c r="I71" s="116"/>
      <c r="J71" s="99"/>
    </row>
    <row r="72" spans="1:10">
      <c r="A72" s="250" t="s">
        <v>534</v>
      </c>
      <c r="B72" s="113">
        <v>0</v>
      </c>
      <c r="C72" s="112">
        <v>322</v>
      </c>
      <c r="D72" s="561">
        <v>88.2</v>
      </c>
      <c r="E72" s="114"/>
      <c r="F72" s="445">
        <v>350</v>
      </c>
      <c r="G72" s="501">
        <f>350</f>
        <v>350</v>
      </c>
      <c r="H72" s="219">
        <v>1700</v>
      </c>
      <c r="I72" s="116"/>
      <c r="J72" s="99"/>
    </row>
    <row r="73" spans="1:10">
      <c r="A73" s="250" t="s">
        <v>612</v>
      </c>
      <c r="B73" s="113">
        <v>773.51</v>
      </c>
      <c r="C73" s="112">
        <v>526</v>
      </c>
      <c r="D73" s="561">
        <v>107.07</v>
      </c>
      <c r="E73" s="114"/>
      <c r="F73" s="445">
        <v>550</v>
      </c>
      <c r="G73" s="501">
        <f>550</f>
        <v>550</v>
      </c>
      <c r="H73" s="259" t="s">
        <v>107</v>
      </c>
      <c r="I73" s="116"/>
      <c r="J73" s="99"/>
    </row>
    <row r="74" spans="1:10">
      <c r="A74" s="251" t="s">
        <v>415</v>
      </c>
      <c r="B74" s="126">
        <v>310.81</v>
      </c>
      <c r="C74" s="536">
        <v>212</v>
      </c>
      <c r="D74" s="564">
        <v>43.65</v>
      </c>
      <c r="E74" s="127"/>
      <c r="F74" s="450">
        <v>225</v>
      </c>
      <c r="G74" s="509">
        <f>225</f>
        <v>225</v>
      </c>
      <c r="H74" s="230" t="s">
        <v>116</v>
      </c>
      <c r="I74" s="128"/>
      <c r="J74" s="99"/>
    </row>
    <row r="75" spans="1:10">
      <c r="A75" s="250" t="s">
        <v>412</v>
      </c>
      <c r="B75" s="113">
        <v>4184.84</v>
      </c>
      <c r="C75" s="112">
        <v>11005</v>
      </c>
      <c r="D75" s="561">
        <v>970.04</v>
      </c>
      <c r="E75" s="114"/>
      <c r="F75" s="445">
        <v>4872</v>
      </c>
      <c r="G75" s="501">
        <f>(G46+G112)*Table13[[#This Row],[Notes]]</f>
        <v>4937.424</v>
      </c>
      <c r="H75" s="227" t="s">
        <v>107</v>
      </c>
      <c r="I75" s="191">
        <v>1.4500000000000001E-2</v>
      </c>
      <c r="J75" s="99"/>
    </row>
    <row r="76" spans="1:10">
      <c r="A76" s="254" t="s">
        <v>411</v>
      </c>
      <c r="B76" s="113">
        <v>15265.97</v>
      </c>
      <c r="C76" s="112">
        <v>18695</v>
      </c>
      <c r="D76" s="561">
        <v>5162.7700000000004</v>
      </c>
      <c r="E76" s="114"/>
      <c r="F76" s="445">
        <v>21045</v>
      </c>
      <c r="G76" s="501">
        <f>(G48+G113)*I75</f>
        <v>22736.098600000001</v>
      </c>
      <c r="H76" s="227" t="s">
        <v>124</v>
      </c>
      <c r="I76" s="116"/>
      <c r="J76" s="99"/>
    </row>
    <row r="77" spans="1:10" s="130" customFormat="1">
      <c r="A77" s="250" t="s">
        <v>468</v>
      </c>
      <c r="B77" s="113">
        <v>0</v>
      </c>
      <c r="C77" s="112">
        <v>1212</v>
      </c>
      <c r="D77" s="561">
        <v>380.16</v>
      </c>
      <c r="E77" s="114"/>
      <c r="F77" s="445">
        <v>2399</v>
      </c>
      <c r="G77" s="501">
        <f>(G51+G114)*I75</f>
        <v>4234.4534150000009</v>
      </c>
      <c r="H77" s="227">
        <v>1700</v>
      </c>
      <c r="I77" s="129"/>
      <c r="J77" s="99"/>
    </row>
    <row r="78" spans="1:10">
      <c r="A78" s="252" t="s">
        <v>610</v>
      </c>
      <c r="B78" s="131">
        <v>3191.37</v>
      </c>
      <c r="C78" s="537">
        <v>3669</v>
      </c>
      <c r="D78" s="561">
        <v>755.65</v>
      </c>
      <c r="E78" s="114"/>
      <c r="F78" s="445">
        <v>3472</v>
      </c>
      <c r="G78" s="501">
        <f>(G52+G115)*I75</f>
        <v>3536.5065</v>
      </c>
      <c r="H78" s="227" t="s">
        <v>124</v>
      </c>
      <c r="I78" s="116"/>
      <c r="J78" s="99"/>
    </row>
    <row r="79" spans="1:10" s="130" customFormat="1">
      <c r="A79" s="262" t="s">
        <v>556</v>
      </c>
      <c r="B79" s="255">
        <v>0</v>
      </c>
      <c r="C79" s="537">
        <v>0</v>
      </c>
      <c r="D79" s="561">
        <v>262.48</v>
      </c>
      <c r="E79" s="472"/>
      <c r="F79" s="449">
        <v>0</v>
      </c>
      <c r="G79" s="501">
        <v>0</v>
      </c>
      <c r="H79" s="229" t="s">
        <v>219</v>
      </c>
      <c r="I79" s="129"/>
      <c r="J79" s="99"/>
    </row>
    <row r="80" spans="1:10" s="130" customFormat="1">
      <c r="A80" s="256" t="s">
        <v>535</v>
      </c>
      <c r="B80" s="255">
        <v>0</v>
      </c>
      <c r="C80" s="537">
        <v>159</v>
      </c>
      <c r="D80" s="561">
        <v>129.94</v>
      </c>
      <c r="E80" s="114"/>
      <c r="F80" s="445">
        <v>456</v>
      </c>
      <c r="G80" s="501">
        <f>(G54+3000)*I75</f>
        <v>562.16500000000008</v>
      </c>
      <c r="H80" s="257">
        <v>2140</v>
      </c>
      <c r="I80" s="129"/>
      <c r="J80" s="99"/>
    </row>
    <row r="81" spans="1:10" s="130" customFormat="1">
      <c r="A81" s="256" t="s">
        <v>499</v>
      </c>
      <c r="B81" s="255">
        <v>0</v>
      </c>
      <c r="C81" s="537">
        <v>529</v>
      </c>
      <c r="D81" s="561">
        <v>200.93</v>
      </c>
      <c r="E81" s="114"/>
      <c r="F81" s="445">
        <v>1206</v>
      </c>
      <c r="G81" s="501">
        <f>(G55+G118)*I75</f>
        <v>1044.2465</v>
      </c>
      <c r="H81" s="258">
        <v>2150</v>
      </c>
      <c r="I81" s="129"/>
      <c r="J81" s="99"/>
    </row>
    <row r="82" spans="1:10">
      <c r="A82" s="252" t="s">
        <v>404</v>
      </c>
      <c r="B82" s="131">
        <v>153.19</v>
      </c>
      <c r="C82" s="537">
        <v>332</v>
      </c>
      <c r="D82" s="561">
        <v>83.78</v>
      </c>
      <c r="E82" s="114"/>
      <c r="F82" s="445">
        <v>312</v>
      </c>
      <c r="G82" s="501">
        <f>(G56+G119)*I75</f>
        <v>166.75</v>
      </c>
      <c r="H82" s="227" t="s">
        <v>218</v>
      </c>
      <c r="I82" s="116"/>
      <c r="J82" s="99"/>
    </row>
    <row r="83" spans="1:10">
      <c r="A83" s="250" t="s">
        <v>410</v>
      </c>
      <c r="B83" s="113">
        <v>485.6</v>
      </c>
      <c r="C83" s="112">
        <v>541</v>
      </c>
      <c r="D83" s="561">
        <v>109.3</v>
      </c>
      <c r="E83" s="114"/>
      <c r="F83" s="445">
        <v>415</v>
      </c>
      <c r="G83" s="501">
        <f>(G57+G120)*I75</f>
        <v>435</v>
      </c>
      <c r="H83" s="227" t="s">
        <v>124</v>
      </c>
      <c r="I83" s="116"/>
      <c r="J83" s="99"/>
    </row>
    <row r="84" spans="1:10">
      <c r="A84" s="250" t="s">
        <v>405</v>
      </c>
      <c r="B84" s="113">
        <v>2269.08</v>
      </c>
      <c r="C84" s="112">
        <v>1217</v>
      </c>
      <c r="D84" s="561">
        <v>660.52</v>
      </c>
      <c r="E84" s="114"/>
      <c r="F84" s="445">
        <v>1235</v>
      </c>
      <c r="G84" s="501">
        <f>(G58+G121)*I75</f>
        <v>479.55763000000007</v>
      </c>
      <c r="H84" s="227" t="s">
        <v>124</v>
      </c>
      <c r="I84" s="116"/>
      <c r="J84" s="99"/>
    </row>
    <row r="85" spans="1:10">
      <c r="A85" s="250" t="s">
        <v>536</v>
      </c>
      <c r="B85" s="113">
        <v>0</v>
      </c>
      <c r="C85" s="112">
        <v>823</v>
      </c>
      <c r="D85" s="561">
        <v>483.71</v>
      </c>
      <c r="E85" s="114"/>
      <c r="F85" s="445">
        <v>975</v>
      </c>
      <c r="G85" s="501">
        <f>G59*I75</f>
        <v>943.98161000000005</v>
      </c>
      <c r="H85" s="219">
        <v>1700</v>
      </c>
      <c r="I85" s="116"/>
      <c r="J85" s="99"/>
    </row>
    <row r="86" spans="1:10">
      <c r="A86" s="250" t="s">
        <v>611</v>
      </c>
      <c r="B86" s="113">
        <v>1138.8599999999999</v>
      </c>
      <c r="C86" s="112">
        <v>1033</v>
      </c>
      <c r="D86" s="561">
        <v>342.92</v>
      </c>
      <c r="E86" s="114"/>
      <c r="F86" s="445">
        <v>1317</v>
      </c>
      <c r="G86" s="501">
        <f>(G60+G122)*I75</f>
        <v>1405.0500000000002</v>
      </c>
      <c r="H86" s="259" t="s">
        <v>107</v>
      </c>
      <c r="I86" s="116"/>
      <c r="J86" s="99"/>
    </row>
    <row r="87" spans="1:10">
      <c r="A87" s="251" t="s">
        <v>557</v>
      </c>
      <c r="B87" s="126">
        <v>434.51</v>
      </c>
      <c r="C87" s="536">
        <v>448</v>
      </c>
      <c r="D87" s="564">
        <v>104.95</v>
      </c>
      <c r="E87" s="127"/>
      <c r="F87" s="450">
        <v>482</v>
      </c>
      <c r="G87" s="509">
        <f>(G61+G123)*I75</f>
        <v>475.09250000000003</v>
      </c>
      <c r="H87" s="260" t="s">
        <v>116</v>
      </c>
      <c r="I87" s="128"/>
      <c r="J87" s="99"/>
    </row>
    <row r="88" spans="1:10" s="117" customFormat="1">
      <c r="A88" s="250" t="s">
        <v>649</v>
      </c>
      <c r="B88" s="113">
        <v>57632.36</v>
      </c>
      <c r="C88" s="112">
        <v>51326.239999999998</v>
      </c>
      <c r="D88" s="561">
        <v>11106.44</v>
      </c>
      <c r="E88" s="114"/>
      <c r="F88" s="445">
        <v>68590</v>
      </c>
      <c r="G88" s="501">
        <f>G46*Table13[[#This Row],[Notes]]</f>
        <v>69659.567999999999</v>
      </c>
      <c r="H88" s="227" t="s">
        <v>107</v>
      </c>
      <c r="I88" s="192">
        <v>0.214</v>
      </c>
      <c r="J88" s="120"/>
    </row>
    <row r="89" spans="1:10" s="117" customFormat="1">
      <c r="A89" s="250" t="s">
        <v>406</v>
      </c>
      <c r="B89" s="113">
        <v>217598.24</v>
      </c>
      <c r="C89" s="112">
        <v>276748.21000000002</v>
      </c>
      <c r="D89" s="561">
        <v>51899.49</v>
      </c>
      <c r="E89" s="114"/>
      <c r="F89" s="445">
        <v>286307</v>
      </c>
      <c r="G89" s="501">
        <f>G48*I88</f>
        <v>310408.45520000003</v>
      </c>
      <c r="H89" s="227" t="s">
        <v>124</v>
      </c>
      <c r="I89" s="116"/>
      <c r="J89" s="120"/>
    </row>
    <row r="90" spans="1:10" s="132" customFormat="1">
      <c r="A90" s="250" t="s">
        <v>470</v>
      </c>
      <c r="B90" s="113">
        <v>0</v>
      </c>
      <c r="C90" s="112">
        <v>17295.419999999998</v>
      </c>
      <c r="D90" s="561">
        <v>3478.46</v>
      </c>
      <c r="E90" s="114"/>
      <c r="F90" s="445">
        <v>31979</v>
      </c>
      <c r="G90" s="501">
        <f>G51*I88</f>
        <v>51473.691779999994</v>
      </c>
      <c r="H90" s="227">
        <v>1700</v>
      </c>
      <c r="I90" s="129"/>
      <c r="J90" s="120"/>
    </row>
    <row r="91" spans="1:10" s="117" customFormat="1">
      <c r="A91" s="250" t="s">
        <v>590</v>
      </c>
      <c r="B91" s="113">
        <v>39460.019999999997</v>
      </c>
      <c r="C91" s="112">
        <v>45882.22</v>
      </c>
      <c r="D91" s="561">
        <v>7928.98</v>
      </c>
      <c r="E91" s="114"/>
      <c r="F91" s="445">
        <v>48036</v>
      </c>
      <c r="G91" s="501">
        <f>G52*I88</f>
        <v>47913.957999999999</v>
      </c>
      <c r="H91" s="227" t="s">
        <v>124</v>
      </c>
      <c r="I91" s="116"/>
      <c r="J91" s="120"/>
    </row>
    <row r="92" spans="1:10" s="132" customFormat="1">
      <c r="A92" s="263" t="s">
        <v>558</v>
      </c>
      <c r="B92" s="213">
        <v>0</v>
      </c>
      <c r="C92" s="492">
        <v>0</v>
      </c>
      <c r="D92" s="561">
        <v>2803.9</v>
      </c>
      <c r="E92" s="472"/>
      <c r="F92" s="449">
        <v>0</v>
      </c>
      <c r="G92" s="501">
        <f>'FY25 PPSEL Salary &amp; Benefits'!M81*'FY25 PPSEL Revised'!I88</f>
        <v>21579.331999999999</v>
      </c>
      <c r="H92" s="229" t="s">
        <v>219</v>
      </c>
      <c r="I92" s="129"/>
      <c r="J92" s="120"/>
    </row>
    <row r="93" spans="1:10" s="132" customFormat="1">
      <c r="A93" s="263" t="s">
        <v>559</v>
      </c>
      <c r="B93" s="213">
        <v>0</v>
      </c>
      <c r="C93" s="112">
        <v>304.31</v>
      </c>
      <c r="D93" s="561">
        <v>1275.8</v>
      </c>
      <c r="E93" s="472"/>
      <c r="F93" s="449">
        <v>0</v>
      </c>
      <c r="G93" s="501">
        <f>'FY25 PPSEL Salary &amp; Benefits'!M83*'FY25 PPSEL Revised'!I88</f>
        <v>7654.78</v>
      </c>
      <c r="H93" s="229" t="s">
        <v>552</v>
      </c>
      <c r="I93" s="129"/>
      <c r="J93" s="120"/>
    </row>
    <row r="94" spans="1:10" s="117" customFormat="1">
      <c r="A94" s="250" t="s">
        <v>500</v>
      </c>
      <c r="B94" s="113">
        <v>0</v>
      </c>
      <c r="C94" s="112">
        <v>7735.87</v>
      </c>
      <c r="D94" s="561">
        <v>1895.4</v>
      </c>
      <c r="E94" s="114"/>
      <c r="F94" s="445">
        <v>17267</v>
      </c>
      <c r="G94" s="501">
        <f>G55*I88</f>
        <v>15090.637999999999</v>
      </c>
      <c r="H94" s="227">
        <v>2150</v>
      </c>
      <c r="I94" s="125"/>
      <c r="J94" s="120"/>
    </row>
    <row r="95" spans="1:10" s="117" customFormat="1">
      <c r="A95" s="250" t="s">
        <v>407</v>
      </c>
      <c r="B95" s="113">
        <v>2716.4</v>
      </c>
      <c r="C95" s="112">
        <v>2251.33</v>
      </c>
      <c r="D95" s="561">
        <v>725.43</v>
      </c>
      <c r="E95" s="114"/>
      <c r="F95" s="445">
        <v>3680</v>
      </c>
      <c r="G95" s="501">
        <f>G56*I88</f>
        <v>1926</v>
      </c>
      <c r="H95" s="227">
        <v>3100</v>
      </c>
      <c r="I95" s="116"/>
      <c r="J95" s="120"/>
    </row>
    <row r="96" spans="1:10" s="117" customFormat="1">
      <c r="A96" s="250" t="s">
        <v>408</v>
      </c>
      <c r="B96" s="113">
        <v>4624.04</v>
      </c>
      <c r="C96" s="112">
        <v>6370.37</v>
      </c>
      <c r="D96" s="561">
        <v>787.09</v>
      </c>
      <c r="E96" s="114"/>
      <c r="F96" s="445">
        <v>5479</v>
      </c>
      <c r="G96" s="501">
        <f>G57*I88</f>
        <v>5350</v>
      </c>
      <c r="H96" s="227">
        <v>2100</v>
      </c>
      <c r="I96" s="116"/>
      <c r="J96" s="120"/>
    </row>
    <row r="97" spans="1:10" s="117" customFormat="1">
      <c r="A97" s="250" t="s">
        <v>409</v>
      </c>
      <c r="B97" s="113">
        <v>35738.68</v>
      </c>
      <c r="C97" s="112">
        <v>17518.37</v>
      </c>
      <c r="D97" s="561">
        <v>4933.47</v>
      </c>
      <c r="E97" s="114"/>
      <c r="F97" s="445">
        <v>14370</v>
      </c>
      <c r="G97" s="501">
        <f>G58*I88</f>
        <v>7077.60916</v>
      </c>
      <c r="H97" s="227" t="s">
        <v>124</v>
      </c>
      <c r="I97" s="116"/>
      <c r="J97" s="120"/>
    </row>
    <row r="98" spans="1:10" s="117" customFormat="1">
      <c r="A98" s="250" t="s">
        <v>537</v>
      </c>
      <c r="B98" s="113">
        <v>0</v>
      </c>
      <c r="C98" s="112">
        <v>13765.86</v>
      </c>
      <c r="D98" s="561">
        <v>5053.68</v>
      </c>
      <c r="E98" s="114"/>
      <c r="F98" s="445">
        <v>14396</v>
      </c>
      <c r="G98" s="501">
        <f>G59*I88</f>
        <v>13931.86652</v>
      </c>
      <c r="H98" s="219">
        <v>1700</v>
      </c>
      <c r="I98" s="116"/>
      <c r="J98" s="120"/>
    </row>
    <row r="99" spans="1:10" s="117" customFormat="1">
      <c r="A99" s="250" t="s">
        <v>648</v>
      </c>
      <c r="B99" s="113">
        <v>15064.8</v>
      </c>
      <c r="C99" s="112">
        <v>17095.349999999999</v>
      </c>
      <c r="D99" s="561">
        <v>2921.1</v>
      </c>
      <c r="E99" s="114"/>
      <c r="F99" s="445">
        <v>17302</v>
      </c>
      <c r="G99" s="501">
        <f>G60*I88</f>
        <v>17526.599999999999</v>
      </c>
      <c r="H99" s="227" t="s">
        <v>107</v>
      </c>
      <c r="I99" s="116"/>
      <c r="J99" s="120"/>
    </row>
    <row r="100" spans="1:10" s="117" customFormat="1">
      <c r="A100" s="251" t="s">
        <v>650</v>
      </c>
      <c r="B100" s="126">
        <v>5931.28</v>
      </c>
      <c r="C100" s="536">
        <v>6339.29</v>
      </c>
      <c r="D100" s="564">
        <v>1120.8900000000001</v>
      </c>
      <c r="E100" s="127"/>
      <c r="F100" s="450">
        <v>6584</v>
      </c>
      <c r="G100" s="509">
        <f>G61*I88</f>
        <v>6583.71</v>
      </c>
      <c r="H100" s="230" t="s">
        <v>116</v>
      </c>
      <c r="I100" s="128"/>
      <c r="J100" s="120"/>
    </row>
    <row r="101" spans="1:10">
      <c r="A101" s="100" t="s">
        <v>502</v>
      </c>
      <c r="B101" s="85">
        <v>20492.64</v>
      </c>
      <c r="C101" s="530">
        <v>18520.05</v>
      </c>
      <c r="D101" s="561">
        <v>4635.16</v>
      </c>
      <c r="E101" s="110"/>
      <c r="F101" s="445">
        <v>22382</v>
      </c>
      <c r="G101" s="501">
        <f>'FY25 PPSEL Salary &amp; Benefits'!R87</f>
        <v>25581.52</v>
      </c>
      <c r="H101" s="219" t="s">
        <v>107</v>
      </c>
      <c r="I101" s="84"/>
      <c r="J101" s="99"/>
    </row>
    <row r="102" spans="1:10">
      <c r="A102" s="100" t="s">
        <v>503</v>
      </c>
      <c r="B102" s="85">
        <v>120319.52</v>
      </c>
      <c r="C102" s="530">
        <v>140017.82</v>
      </c>
      <c r="D102" s="561">
        <v>35960.29</v>
      </c>
      <c r="E102" s="110"/>
      <c r="F102" s="445">
        <v>147203</v>
      </c>
      <c r="G102" s="501">
        <f>'FY25 PPSEL Salary &amp; Benefits'!R74+'FY25 PPSEL Salary &amp; Benefits'!R75+'FY25 PPSEL Salary &amp; Benefits'!R76+'FY25 PPSEL Salary &amp; Benefits'!R84</f>
        <v>164005.07999999996</v>
      </c>
      <c r="H102" s="219" t="s">
        <v>124</v>
      </c>
      <c r="I102" s="84"/>
      <c r="J102" s="99"/>
    </row>
    <row r="103" spans="1:10" s="130" customFormat="1">
      <c r="A103" s="100" t="s">
        <v>501</v>
      </c>
      <c r="B103" s="85">
        <v>0</v>
      </c>
      <c r="C103" s="530">
        <v>9613.56</v>
      </c>
      <c r="D103" s="561">
        <v>3369.77</v>
      </c>
      <c r="E103" s="110"/>
      <c r="F103" s="445">
        <v>10095</v>
      </c>
      <c r="G103" s="501">
        <f>'FY25 PPSEL Salary &amp; Benefits'!R80</f>
        <v>25625.52</v>
      </c>
      <c r="H103" s="219">
        <v>1700</v>
      </c>
      <c r="I103" s="133"/>
      <c r="J103" s="99"/>
    </row>
    <row r="104" spans="1:10">
      <c r="A104" s="100" t="s">
        <v>505</v>
      </c>
      <c r="B104" s="85">
        <v>26234.71</v>
      </c>
      <c r="C104" s="530">
        <v>21714.93</v>
      </c>
      <c r="D104" s="561">
        <v>4411.5200000000004</v>
      </c>
      <c r="E104" s="110"/>
      <c r="F104" s="445">
        <v>22801</v>
      </c>
      <c r="G104" s="501">
        <f>'FY25 PPSEL Salary &amp; Benefits'!R79</f>
        <v>17113.68</v>
      </c>
      <c r="H104" s="219" t="s">
        <v>124</v>
      </c>
      <c r="I104" s="84"/>
      <c r="J104" s="99"/>
    </row>
    <row r="105" spans="1:10" s="130" customFormat="1">
      <c r="A105" s="262" t="s">
        <v>637</v>
      </c>
      <c r="B105" s="288">
        <v>0</v>
      </c>
      <c r="C105" s="538">
        <v>0</v>
      </c>
      <c r="D105" s="561">
        <v>1093.3</v>
      </c>
      <c r="E105" s="473"/>
      <c r="F105" s="449">
        <v>0</v>
      </c>
      <c r="G105" s="501">
        <f>'FY25 PPSEL Salary &amp; Benefits'!R81</f>
        <v>8556.84</v>
      </c>
      <c r="H105" s="229"/>
      <c r="I105" s="133"/>
      <c r="J105" s="99"/>
    </row>
    <row r="106" spans="1:10">
      <c r="A106" s="100" t="s">
        <v>506</v>
      </c>
      <c r="B106" s="85">
        <v>0</v>
      </c>
      <c r="C106" s="530">
        <v>2824.81</v>
      </c>
      <c r="D106" s="561">
        <v>2004.21</v>
      </c>
      <c r="E106" s="110"/>
      <c r="F106" s="445">
        <v>3345</v>
      </c>
      <c r="G106" s="501">
        <f>'FY25 PPSEL Salary &amp; Benefits'!R82</f>
        <v>8556.84</v>
      </c>
      <c r="H106" s="219">
        <v>2150</v>
      </c>
      <c r="I106" s="134"/>
      <c r="J106" s="99"/>
    </row>
    <row r="107" spans="1:10">
      <c r="A107" s="100" t="s">
        <v>538</v>
      </c>
      <c r="B107" s="85">
        <v>0</v>
      </c>
      <c r="C107" s="530">
        <v>3791.04</v>
      </c>
      <c r="D107" s="561">
        <v>0</v>
      </c>
      <c r="E107" s="110"/>
      <c r="F107" s="445">
        <v>3981</v>
      </c>
      <c r="G107" s="501">
        <v>0</v>
      </c>
      <c r="H107" s="219">
        <v>1700</v>
      </c>
      <c r="I107" s="84"/>
      <c r="J107" s="99"/>
    </row>
    <row r="108" spans="1:10">
      <c r="A108" s="100" t="s">
        <v>651</v>
      </c>
      <c r="B108" s="468">
        <v>0</v>
      </c>
      <c r="C108" s="530">
        <v>0</v>
      </c>
      <c r="D108" s="561">
        <v>88.76</v>
      </c>
      <c r="E108" s="110"/>
      <c r="F108" s="445">
        <v>0</v>
      </c>
      <c r="G108" s="501"/>
      <c r="H108" s="219"/>
      <c r="I108" s="84"/>
      <c r="J108" s="99"/>
    </row>
    <row r="109" spans="1:10">
      <c r="A109" s="100" t="s">
        <v>614</v>
      </c>
      <c r="B109" s="85">
        <v>7509.41</v>
      </c>
      <c r="C109" s="530">
        <v>7609</v>
      </c>
      <c r="D109" s="561">
        <v>2139.27</v>
      </c>
      <c r="E109" s="110"/>
      <c r="F109" s="445">
        <v>7989</v>
      </c>
      <c r="G109" s="501">
        <f>'FY25 PPSEL Salary &amp; Benefits'!R88</f>
        <v>8556.84</v>
      </c>
      <c r="H109" s="219" t="s">
        <v>107</v>
      </c>
      <c r="I109" s="84"/>
      <c r="J109" s="99"/>
    </row>
    <row r="110" spans="1:10">
      <c r="A110" s="100" t="s">
        <v>504</v>
      </c>
      <c r="B110" s="85">
        <v>0</v>
      </c>
      <c r="C110" s="530">
        <v>54</v>
      </c>
      <c r="D110" s="561">
        <v>16.260000000000002</v>
      </c>
      <c r="E110" s="110"/>
      <c r="F110" s="445">
        <v>57</v>
      </c>
      <c r="G110" s="501">
        <f>'FY25 PPSEL Salary &amp; Benefits'!R89</f>
        <v>65.039999999999992</v>
      </c>
      <c r="H110" s="219" t="s">
        <v>116</v>
      </c>
      <c r="I110" s="84">
        <f>SUM(G101:G110)</f>
        <v>258061.35999999993</v>
      </c>
      <c r="J110" s="99"/>
    </row>
    <row r="111" spans="1:10" ht="16" thickBot="1">
      <c r="A111" s="100" t="s">
        <v>152</v>
      </c>
      <c r="B111" s="85">
        <v>100754</v>
      </c>
      <c r="C111" s="530">
        <v>8498</v>
      </c>
      <c r="D111" s="561">
        <v>0</v>
      </c>
      <c r="E111" s="482"/>
      <c r="F111" s="123">
        <v>100000</v>
      </c>
      <c r="G111" s="510">
        <v>50000</v>
      </c>
      <c r="H111" s="219" t="s">
        <v>107</v>
      </c>
      <c r="I111" s="84" t="s">
        <v>474</v>
      </c>
      <c r="J111" s="99"/>
    </row>
    <row r="112" spans="1:10">
      <c r="A112" s="204" t="s">
        <v>417</v>
      </c>
      <c r="B112" s="205">
        <f>28300+2100</f>
        <v>30400</v>
      </c>
      <c r="C112" s="528">
        <v>30500</v>
      </c>
      <c r="D112" s="565">
        <v>15000</v>
      </c>
      <c r="E112" s="112"/>
      <c r="F112" s="115">
        <v>15500</v>
      </c>
      <c r="G112" s="511">
        <f>'FY25 PPSEL Salary &amp; Benefits'!M62</f>
        <v>15000</v>
      </c>
      <c r="H112" s="231" t="s">
        <v>107</v>
      </c>
      <c r="I112" s="206"/>
      <c r="J112" s="99"/>
    </row>
    <row r="113" spans="1:10">
      <c r="A113" s="207" t="s">
        <v>475</v>
      </c>
      <c r="B113" s="113">
        <v>182250</v>
      </c>
      <c r="C113" s="112">
        <v>231000</v>
      </c>
      <c r="D113" s="561">
        <v>115000</v>
      </c>
      <c r="E113" s="114"/>
      <c r="F113" s="115">
        <v>113500</v>
      </c>
      <c r="G113" s="511">
        <f>'FY25 PPSEL Salary &amp; Benefits'!M10+'FY25 PPSEL Salary &amp; Benefits'!M24+'FY25 PPSEL Salary &amp; Benefits'!M32+'FY25 PPSEL Salary &amp; Benefits'!M38</f>
        <v>117500</v>
      </c>
      <c r="H113" s="232" t="s">
        <v>124</v>
      </c>
      <c r="I113" s="208"/>
      <c r="J113" s="99"/>
    </row>
    <row r="114" spans="1:10" s="101" customFormat="1">
      <c r="A114" s="207" t="s">
        <v>471</v>
      </c>
      <c r="B114" s="113">
        <v>0</v>
      </c>
      <c r="C114" s="112">
        <v>38000</v>
      </c>
      <c r="D114" s="561">
        <v>25000</v>
      </c>
      <c r="E114" s="114"/>
      <c r="F114" s="115">
        <v>16000</v>
      </c>
      <c r="G114" s="511">
        <f>'FY25 PPSEL Salary &amp; Benefits'!M57-G118</f>
        <v>51500</v>
      </c>
      <c r="H114" s="232">
        <v>1700</v>
      </c>
      <c r="I114" s="208"/>
      <c r="J114" s="99"/>
    </row>
    <row r="115" spans="1:10">
      <c r="A115" s="207" t="s">
        <v>416</v>
      </c>
      <c r="B115" s="113">
        <v>30100</v>
      </c>
      <c r="C115" s="112">
        <v>32500</v>
      </c>
      <c r="D115" s="561">
        <v>15000</v>
      </c>
      <c r="E115" s="114"/>
      <c r="F115" s="115">
        <v>15000</v>
      </c>
      <c r="G115" s="511">
        <f>'FY25 PPSEL Salary &amp; Benefits'!M46</f>
        <v>20000</v>
      </c>
      <c r="H115" s="232" t="s">
        <v>124</v>
      </c>
      <c r="I115" s="208"/>
      <c r="J115" s="99"/>
    </row>
    <row r="116" spans="1:10">
      <c r="A116" s="207" t="s">
        <v>664</v>
      </c>
      <c r="B116" s="113"/>
      <c r="C116" s="112"/>
      <c r="D116" s="561">
        <v>5000</v>
      </c>
      <c r="E116" s="114"/>
      <c r="F116" s="115"/>
      <c r="G116" s="511"/>
      <c r="H116" s="232"/>
      <c r="I116" s="208"/>
      <c r="J116" s="99"/>
    </row>
    <row r="117" spans="1:10">
      <c r="A117" s="207" t="s">
        <v>665</v>
      </c>
      <c r="B117" s="113"/>
      <c r="C117" s="112"/>
      <c r="D117" s="561">
        <v>3000</v>
      </c>
      <c r="E117" s="114"/>
      <c r="F117" s="115"/>
      <c r="G117" s="511"/>
      <c r="H117" s="232"/>
      <c r="I117" s="208"/>
      <c r="J117" s="99"/>
    </row>
    <row r="118" spans="1:10">
      <c r="A118" s="209" t="s">
        <v>507</v>
      </c>
      <c r="B118" s="113">
        <v>0</v>
      </c>
      <c r="C118" s="112">
        <v>5000</v>
      </c>
      <c r="D118" s="561">
        <v>5000</v>
      </c>
      <c r="E118" s="114"/>
      <c r="F118" s="115">
        <v>2500</v>
      </c>
      <c r="G118" s="511">
        <f>1500</f>
        <v>1500</v>
      </c>
      <c r="H118" s="232" t="s">
        <v>497</v>
      </c>
      <c r="I118" s="210"/>
      <c r="J118" s="99"/>
    </row>
    <row r="119" spans="1:10">
      <c r="A119" s="207" t="s">
        <v>446</v>
      </c>
      <c r="B119" s="113">
        <v>500</v>
      </c>
      <c r="C119" s="112">
        <v>3200</v>
      </c>
      <c r="D119" s="561">
        <v>2500</v>
      </c>
      <c r="E119" s="114"/>
      <c r="F119" s="115">
        <v>4300</v>
      </c>
      <c r="G119" s="511">
        <f>'FY25 PPSEL Salary &amp; Benefits'!M68</f>
        <v>2500</v>
      </c>
      <c r="H119" s="232" t="s">
        <v>124</v>
      </c>
      <c r="I119" s="210"/>
      <c r="J119" s="99"/>
    </row>
    <row r="120" spans="1:10">
      <c r="A120" s="207" t="s">
        <v>418</v>
      </c>
      <c r="B120" s="113">
        <v>8000</v>
      </c>
      <c r="C120" s="112">
        <v>7200</v>
      </c>
      <c r="D120" s="561">
        <v>5000</v>
      </c>
      <c r="E120" s="114"/>
      <c r="F120" s="115">
        <v>3000</v>
      </c>
      <c r="G120" s="511">
        <f>'FY25 PPSEL Salary &amp; Benefits'!M70</f>
        <v>5000</v>
      </c>
      <c r="H120" s="232" t="s">
        <v>124</v>
      </c>
      <c r="I120" s="208"/>
      <c r="J120" s="99"/>
    </row>
    <row r="121" spans="1:10">
      <c r="A121" s="207" t="s">
        <v>472</v>
      </c>
      <c r="B121" s="113">
        <v>8350</v>
      </c>
      <c r="C121" s="112">
        <v>38500</v>
      </c>
      <c r="D121" s="561">
        <v>21250</v>
      </c>
      <c r="E121" s="114"/>
      <c r="F121" s="115">
        <v>18000</v>
      </c>
      <c r="G121" s="511">
        <v>0</v>
      </c>
      <c r="H121" s="232" t="s">
        <v>124</v>
      </c>
      <c r="I121" s="208"/>
      <c r="J121" s="99"/>
    </row>
    <row r="122" spans="1:10">
      <c r="A122" s="207" t="s">
        <v>615</v>
      </c>
      <c r="B122" s="113">
        <v>15800</v>
      </c>
      <c r="C122" s="112">
        <v>20000</v>
      </c>
      <c r="D122" s="561">
        <v>10000</v>
      </c>
      <c r="E122" s="114"/>
      <c r="F122" s="115">
        <v>10000</v>
      </c>
      <c r="G122" s="511">
        <f>'FY25 PPSEL Salary &amp; Benefits'!M62</f>
        <v>15000</v>
      </c>
      <c r="H122" s="232" t="s">
        <v>107</v>
      </c>
      <c r="I122" s="208"/>
      <c r="J122" s="99"/>
    </row>
    <row r="123" spans="1:10" ht="16" thickBot="1">
      <c r="A123" s="211" t="s">
        <v>419</v>
      </c>
      <c r="B123" s="121">
        <v>3750</v>
      </c>
      <c r="C123" s="535">
        <v>3500</v>
      </c>
      <c r="D123" s="563">
        <v>2000</v>
      </c>
      <c r="E123" s="122"/>
      <c r="F123" s="123">
        <v>2500</v>
      </c>
      <c r="G123" s="510">
        <f>'FY25 PPSEL Salary &amp; Benefits'!M67</f>
        <v>2000</v>
      </c>
      <c r="H123" s="233" t="s">
        <v>116</v>
      </c>
      <c r="I123" s="212"/>
      <c r="J123" s="99"/>
    </row>
    <row r="124" spans="1:10" s="64" customFormat="1" ht="16">
      <c r="A124" s="135" t="s">
        <v>22</v>
      </c>
      <c r="B124" s="136">
        <f>SUM(B64:B123)</f>
        <v>971932.47</v>
      </c>
      <c r="C124" s="136">
        <f>SUM(C64:C123)</f>
        <v>1136224.0500000003</v>
      </c>
      <c r="D124" s="136">
        <f>SUM(D64:D123)</f>
        <v>385847.55999999994</v>
      </c>
      <c r="E124" s="479">
        <f>D124/F124</f>
        <v>0.35639046269629998</v>
      </c>
      <c r="F124" s="136">
        <f>SUM(F64:F123)</f>
        <v>1082654</v>
      </c>
      <c r="G124" s="512">
        <f>SUM(G64:G123)</f>
        <v>1167444.894415</v>
      </c>
      <c r="H124" s="234"/>
      <c r="I124" s="273"/>
      <c r="J124" s="63"/>
    </row>
    <row r="125" spans="1:10">
      <c r="A125" s="75" t="s">
        <v>23</v>
      </c>
      <c r="B125" s="80">
        <v>750</v>
      </c>
      <c r="C125" s="527">
        <v>11498</v>
      </c>
      <c r="D125" s="555">
        <v>0</v>
      </c>
      <c r="E125" s="81"/>
      <c r="F125" s="445">
        <v>8000</v>
      </c>
      <c r="G125" s="501">
        <f>8000</f>
        <v>8000</v>
      </c>
      <c r="H125" s="219" t="s">
        <v>107</v>
      </c>
      <c r="I125" s="84" t="s">
        <v>656</v>
      </c>
      <c r="J125" s="99"/>
    </row>
    <row r="126" spans="1:10">
      <c r="A126" s="75" t="s">
        <v>24</v>
      </c>
      <c r="B126" s="80">
        <f>2527.32+60.01+1137.62</f>
        <v>3724.9500000000003</v>
      </c>
      <c r="C126" s="527">
        <v>3770</v>
      </c>
      <c r="D126" s="555">
        <v>972.8</v>
      </c>
      <c r="E126" s="81"/>
      <c r="F126" s="443">
        <v>4000</v>
      </c>
      <c r="G126" s="498">
        <f>400*11</f>
        <v>4400</v>
      </c>
      <c r="H126" s="219" t="s">
        <v>127</v>
      </c>
      <c r="I126" s="137"/>
      <c r="J126" s="99"/>
    </row>
    <row r="127" spans="1:10">
      <c r="A127" s="75" t="s">
        <v>151</v>
      </c>
      <c r="B127" s="80">
        <v>3500</v>
      </c>
      <c r="C127" s="527">
        <v>3300</v>
      </c>
      <c r="D127" s="555">
        <v>0</v>
      </c>
      <c r="E127" s="81"/>
      <c r="F127" s="443">
        <v>7000</v>
      </c>
      <c r="G127" s="498">
        <f>7000</f>
        <v>7000</v>
      </c>
      <c r="H127" s="219" t="s">
        <v>212</v>
      </c>
      <c r="I127" s="84"/>
      <c r="J127" s="99"/>
    </row>
    <row r="128" spans="1:10">
      <c r="A128" s="138" t="s">
        <v>25</v>
      </c>
      <c r="B128" s="139">
        <v>29598.99</v>
      </c>
      <c r="C128" s="539">
        <v>36436</v>
      </c>
      <c r="D128" s="566">
        <v>9599.99</v>
      </c>
      <c r="E128" s="140"/>
      <c r="F128" s="451">
        <v>60000</v>
      </c>
      <c r="G128" s="513">
        <v>60000</v>
      </c>
      <c r="H128" s="235" t="s">
        <v>124</v>
      </c>
      <c r="I128" s="194" t="s">
        <v>676</v>
      </c>
      <c r="J128" s="99"/>
    </row>
    <row r="129" spans="1:10">
      <c r="A129" s="75" t="s">
        <v>26</v>
      </c>
      <c r="B129" s="80">
        <v>3939</v>
      </c>
      <c r="C129" s="527">
        <v>3678</v>
      </c>
      <c r="D129" s="555">
        <v>750</v>
      </c>
      <c r="E129" s="81"/>
      <c r="F129" s="443">
        <v>10000</v>
      </c>
      <c r="G129" s="498">
        <v>10000</v>
      </c>
      <c r="H129" s="219" t="s">
        <v>213</v>
      </c>
      <c r="I129" s="84"/>
      <c r="J129" s="99"/>
    </row>
    <row r="130" spans="1:10">
      <c r="A130" s="75" t="s">
        <v>27</v>
      </c>
      <c r="B130" s="80">
        <v>9400</v>
      </c>
      <c r="C130" s="527">
        <v>17550</v>
      </c>
      <c r="D130" s="555">
        <v>8850</v>
      </c>
      <c r="E130" s="81"/>
      <c r="F130" s="443">
        <v>12000</v>
      </c>
      <c r="G130" s="498">
        <f>12000</f>
        <v>12000</v>
      </c>
      <c r="H130" s="219" t="s">
        <v>214</v>
      </c>
      <c r="I130" s="84"/>
      <c r="J130" s="99"/>
    </row>
    <row r="131" spans="1:10">
      <c r="A131" s="141" t="s">
        <v>508</v>
      </c>
      <c r="B131" s="142">
        <v>0</v>
      </c>
      <c r="C131" s="540">
        <v>22578</v>
      </c>
      <c r="D131" s="567">
        <v>1950</v>
      </c>
      <c r="E131" s="143"/>
      <c r="F131" s="452">
        <v>25000</v>
      </c>
      <c r="G131" s="514">
        <f>1950*9</f>
        <v>17550</v>
      </c>
      <c r="H131" s="236" t="s">
        <v>120</v>
      </c>
      <c r="I131" s="195" t="s">
        <v>526</v>
      </c>
      <c r="J131" s="99"/>
    </row>
    <row r="132" spans="1:10">
      <c r="A132" s="141" t="s">
        <v>509</v>
      </c>
      <c r="B132" s="142">
        <v>0</v>
      </c>
      <c r="C132" s="540">
        <v>34902</v>
      </c>
      <c r="D132" s="567">
        <v>11400</v>
      </c>
      <c r="E132" s="143"/>
      <c r="F132" s="452">
        <v>20000</v>
      </c>
      <c r="G132" s="514">
        <v>11000</v>
      </c>
      <c r="H132" s="236" t="s">
        <v>120</v>
      </c>
      <c r="I132" s="195" t="s">
        <v>527</v>
      </c>
      <c r="J132" s="99"/>
    </row>
    <row r="133" spans="1:10">
      <c r="A133" s="141" t="s">
        <v>528</v>
      </c>
      <c r="B133" s="142">
        <v>0</v>
      </c>
      <c r="C133" s="540">
        <v>0</v>
      </c>
      <c r="D133" s="567">
        <v>0</v>
      </c>
      <c r="E133" s="143"/>
      <c r="F133" s="452">
        <v>0</v>
      </c>
      <c r="G133" s="514">
        <f>0</f>
        <v>0</v>
      </c>
      <c r="H133" s="236">
        <v>2100</v>
      </c>
      <c r="I133" s="195"/>
      <c r="J133" s="99"/>
    </row>
    <row r="134" spans="1:10">
      <c r="A134" s="75" t="s">
        <v>28</v>
      </c>
      <c r="B134" s="80">
        <v>1750</v>
      </c>
      <c r="C134" s="527">
        <v>1250</v>
      </c>
      <c r="D134" s="555">
        <v>0</v>
      </c>
      <c r="E134" s="81"/>
      <c r="F134" s="443">
        <v>1500</v>
      </c>
      <c r="G134" s="498">
        <f>1500</f>
        <v>1500</v>
      </c>
      <c r="H134" s="219" t="s">
        <v>219</v>
      </c>
      <c r="I134" s="84" t="s">
        <v>657</v>
      </c>
      <c r="J134" s="99"/>
    </row>
    <row r="135" spans="1:10">
      <c r="A135" s="75" t="s">
        <v>29</v>
      </c>
      <c r="B135" s="80">
        <v>3592.13</v>
      </c>
      <c r="C135" s="527">
        <v>4478</v>
      </c>
      <c r="D135" s="555">
        <v>3392.94</v>
      </c>
      <c r="E135" s="81"/>
      <c r="F135" s="443">
        <v>4000</v>
      </c>
      <c r="G135" s="498">
        <v>4000</v>
      </c>
      <c r="H135" s="219" t="s">
        <v>215</v>
      </c>
      <c r="I135" s="84"/>
      <c r="J135" s="99"/>
    </row>
    <row r="136" spans="1:10">
      <c r="A136" s="75" t="s">
        <v>30</v>
      </c>
      <c r="B136" s="80">
        <v>964.75</v>
      </c>
      <c r="C136" s="527">
        <v>2383</v>
      </c>
      <c r="D136" s="555">
        <v>835.2</v>
      </c>
      <c r="E136" s="81"/>
      <c r="F136" s="443">
        <v>15000</v>
      </c>
      <c r="G136" s="498">
        <v>10000</v>
      </c>
      <c r="H136" s="219" t="s">
        <v>127</v>
      </c>
      <c r="I136" s="84"/>
      <c r="J136" s="99"/>
    </row>
    <row r="137" spans="1:10">
      <c r="A137" s="75" t="s">
        <v>31</v>
      </c>
      <c r="B137" s="80">
        <v>192.17</v>
      </c>
      <c r="C137" s="527">
        <v>4850</v>
      </c>
      <c r="D137" s="555">
        <v>5314.46</v>
      </c>
      <c r="E137" s="81"/>
      <c r="F137" s="443">
        <v>10000</v>
      </c>
      <c r="G137" s="498">
        <v>15000</v>
      </c>
      <c r="H137" s="219" t="s">
        <v>216</v>
      </c>
      <c r="I137" s="137"/>
      <c r="J137" s="99"/>
    </row>
    <row r="138" spans="1:10">
      <c r="A138" s="75" t="s">
        <v>32</v>
      </c>
      <c r="B138" s="80">
        <v>41402</v>
      </c>
      <c r="C138" s="527">
        <v>43080</v>
      </c>
      <c r="D138" s="555">
        <v>14200.64</v>
      </c>
      <c r="E138" s="81"/>
      <c r="F138" s="443">
        <v>45000</v>
      </c>
      <c r="G138" s="498">
        <v>45000</v>
      </c>
      <c r="H138" s="219" t="s">
        <v>127</v>
      </c>
      <c r="I138" s="84" t="s">
        <v>519</v>
      </c>
      <c r="J138" s="99"/>
    </row>
    <row r="139" spans="1:10" s="144" customFormat="1">
      <c r="A139" s="75" t="s">
        <v>33</v>
      </c>
      <c r="B139" s="80">
        <f>4500</f>
        <v>4500</v>
      </c>
      <c r="C139" s="527">
        <v>5258</v>
      </c>
      <c r="D139" s="555">
        <v>745.46</v>
      </c>
      <c r="E139" s="81"/>
      <c r="F139" s="443">
        <v>0</v>
      </c>
      <c r="G139" s="498">
        <v>5500</v>
      </c>
      <c r="H139" s="219">
        <v>5000</v>
      </c>
      <c r="I139" s="137"/>
      <c r="J139" s="99"/>
    </row>
    <row r="140" spans="1:10" s="99" customFormat="1">
      <c r="A140" s="75" t="s">
        <v>34</v>
      </c>
      <c r="B140" s="80">
        <v>9168.81</v>
      </c>
      <c r="C140" s="527">
        <v>2484</v>
      </c>
      <c r="D140" s="555">
        <f>11487.31+495</f>
        <v>11982.31</v>
      </c>
      <c r="E140" s="81"/>
      <c r="F140" s="443">
        <v>10000</v>
      </c>
      <c r="G140" s="498">
        <v>20000</v>
      </c>
      <c r="H140" s="219" t="s">
        <v>212</v>
      </c>
      <c r="I140" s="84" t="s">
        <v>539</v>
      </c>
    </row>
    <row r="141" spans="1:10">
      <c r="A141" s="75" t="s">
        <v>35</v>
      </c>
      <c r="B141" s="80">
        <v>0</v>
      </c>
      <c r="C141" s="527">
        <v>464</v>
      </c>
      <c r="D141" s="555">
        <v>0</v>
      </c>
      <c r="E141" s="81"/>
      <c r="F141" s="443">
        <v>200</v>
      </c>
      <c r="G141" s="498">
        <v>500</v>
      </c>
      <c r="H141" s="219" t="s">
        <v>107</v>
      </c>
      <c r="I141" s="84"/>
      <c r="J141" s="99"/>
    </row>
    <row r="142" spans="1:10">
      <c r="A142" s="145" t="s">
        <v>36</v>
      </c>
      <c r="B142" s="146">
        <v>8312.2900000000009</v>
      </c>
      <c r="C142" s="541">
        <v>8100</v>
      </c>
      <c r="D142" s="562">
        <v>1989.39</v>
      </c>
      <c r="E142" s="119"/>
      <c r="F142" s="453">
        <v>8500</v>
      </c>
      <c r="G142" s="515">
        <v>8500</v>
      </c>
      <c r="H142" s="237">
        <v>2300</v>
      </c>
      <c r="I142" s="196" t="s">
        <v>669</v>
      </c>
      <c r="J142" s="99"/>
    </row>
    <row r="143" spans="1:10" ht="16" thickBot="1">
      <c r="A143" s="147" t="s">
        <v>37</v>
      </c>
      <c r="B143" s="148">
        <v>83817.350000000006</v>
      </c>
      <c r="C143" s="542">
        <v>89232</v>
      </c>
      <c r="D143" s="568">
        <v>20742.689999999999</v>
      </c>
      <c r="E143" s="149"/>
      <c r="F143" s="454">
        <v>90000</v>
      </c>
      <c r="G143" s="516">
        <f>G3*220.04</f>
        <v>88016</v>
      </c>
      <c r="H143" s="238" t="s">
        <v>217</v>
      </c>
      <c r="I143" s="197" t="s">
        <v>671</v>
      </c>
      <c r="J143" s="99"/>
    </row>
    <row r="144" spans="1:10" s="64" customFormat="1" ht="16">
      <c r="A144" s="135" t="s">
        <v>38</v>
      </c>
      <c r="B144" s="136">
        <f>SUM(B125:B143)</f>
        <v>204612.44</v>
      </c>
      <c r="C144" s="136">
        <f>SUM(C125:C143)</f>
        <v>295291</v>
      </c>
      <c r="D144" s="136">
        <f>SUM(D125:D143)</f>
        <v>92725.88</v>
      </c>
      <c r="E144" s="479">
        <f>Table13[[#This Row],[FY25 Actuals through 9/30/24]]/F144</f>
        <v>0.28081732283464567</v>
      </c>
      <c r="F144" s="136">
        <f>SUM(F125:F143)</f>
        <v>330200</v>
      </c>
      <c r="G144" s="512">
        <f>SUM(G125:G143)</f>
        <v>327966</v>
      </c>
      <c r="H144" s="234"/>
      <c r="I144" s="193"/>
      <c r="J144" s="63"/>
    </row>
    <row r="145" spans="1:10">
      <c r="A145" s="75" t="s">
        <v>39</v>
      </c>
      <c r="B145" s="80"/>
      <c r="C145" s="459"/>
      <c r="D145" s="555"/>
      <c r="E145" s="457"/>
      <c r="F145" s="445"/>
      <c r="G145" s="501"/>
      <c r="H145" s="222"/>
      <c r="I145" s="84"/>
      <c r="J145" s="99"/>
    </row>
    <row r="146" spans="1:10">
      <c r="A146" s="75" t="s">
        <v>40</v>
      </c>
      <c r="B146" s="80">
        <v>10000.719999999999</v>
      </c>
      <c r="C146" s="527">
        <v>16575</v>
      </c>
      <c r="D146" s="555">
        <v>2387.9699999999998</v>
      </c>
      <c r="E146" s="81"/>
      <c r="F146" s="443">
        <v>20000</v>
      </c>
      <c r="G146" s="498">
        <v>20000</v>
      </c>
      <c r="H146" s="219" t="s">
        <v>116</v>
      </c>
      <c r="I146" s="137"/>
      <c r="J146" s="99"/>
    </row>
    <row r="147" spans="1:10">
      <c r="A147" s="75" t="s">
        <v>41</v>
      </c>
      <c r="B147" s="80">
        <v>11775.19</v>
      </c>
      <c r="C147" s="527">
        <v>16014</v>
      </c>
      <c r="D147" s="555">
        <v>5603.27</v>
      </c>
      <c r="E147" s="81"/>
      <c r="F147" s="443">
        <v>20000</v>
      </c>
      <c r="G147" s="498">
        <v>20000</v>
      </c>
      <c r="H147" s="219" t="s">
        <v>116</v>
      </c>
      <c r="I147" s="84"/>
      <c r="J147" s="99"/>
    </row>
    <row r="148" spans="1:10">
      <c r="A148" s="75" t="s">
        <v>42</v>
      </c>
      <c r="B148" s="80">
        <v>11567.5</v>
      </c>
      <c r="C148" s="527">
        <v>10224</v>
      </c>
      <c r="D148" s="555">
        <v>0</v>
      </c>
      <c r="E148" s="81"/>
      <c r="F148" s="443">
        <v>25000</v>
      </c>
      <c r="G148" s="498">
        <v>25000</v>
      </c>
      <c r="H148" s="219" t="s">
        <v>116</v>
      </c>
      <c r="I148" s="84"/>
      <c r="J148" s="99"/>
    </row>
    <row r="149" spans="1:10">
      <c r="A149" s="75" t="s">
        <v>476</v>
      </c>
      <c r="B149" s="80">
        <f>34795.39+46.26</f>
        <v>34841.65</v>
      </c>
      <c r="C149" s="527">
        <v>64659</v>
      </c>
      <c r="D149" s="555">
        <v>32116.22</v>
      </c>
      <c r="E149" s="81"/>
      <c r="F149" s="443">
        <v>60000</v>
      </c>
      <c r="G149" s="498">
        <v>70000</v>
      </c>
      <c r="H149" s="219" t="s">
        <v>116</v>
      </c>
      <c r="I149" s="84"/>
      <c r="J149" s="99"/>
    </row>
    <row r="150" spans="1:10" s="144" customFormat="1">
      <c r="A150" s="75" t="s">
        <v>43</v>
      </c>
      <c r="B150" s="80">
        <v>302595.53999999998</v>
      </c>
      <c r="C150" s="527">
        <v>302845</v>
      </c>
      <c r="D150" s="555">
        <v>0</v>
      </c>
      <c r="E150" s="81"/>
      <c r="F150" s="443">
        <v>302845</v>
      </c>
      <c r="G150" s="498">
        <f>302845</f>
        <v>302845</v>
      </c>
      <c r="H150" s="219" t="s">
        <v>116</v>
      </c>
      <c r="I150" s="84" t="s">
        <v>396</v>
      </c>
      <c r="J150" s="99"/>
    </row>
    <row r="151" spans="1:10" s="144" customFormat="1" ht="16" thickBot="1">
      <c r="A151" s="86" t="s">
        <v>389</v>
      </c>
      <c r="B151" s="87">
        <f>2604</f>
        <v>2604</v>
      </c>
      <c r="C151" s="531">
        <v>2665</v>
      </c>
      <c r="D151" s="556">
        <v>908</v>
      </c>
      <c r="E151" s="88"/>
      <c r="F151" s="444">
        <v>3000</v>
      </c>
      <c r="G151" s="499">
        <v>3000</v>
      </c>
      <c r="H151" s="220">
        <v>2620</v>
      </c>
      <c r="I151" s="89"/>
      <c r="J151" s="99"/>
    </row>
    <row r="152" spans="1:10" s="64" customFormat="1" ht="16">
      <c r="A152" s="135" t="s">
        <v>44</v>
      </c>
      <c r="B152" s="136">
        <f>SUM(B146:B151)</f>
        <v>373384.6</v>
      </c>
      <c r="C152" s="136">
        <f t="shared" ref="C152:G152" si="3">SUM(C146:C151)</f>
        <v>412982</v>
      </c>
      <c r="D152" s="136">
        <f t="shared" si="3"/>
        <v>41015.46</v>
      </c>
      <c r="E152" s="479">
        <f>Table13[[#This Row],[FY25 Actuals through 9/30/24]]/F152</f>
        <v>9.5197716116004596E-2</v>
      </c>
      <c r="F152" s="136">
        <f t="shared" si="3"/>
        <v>430845</v>
      </c>
      <c r="G152" s="512">
        <f t="shared" si="3"/>
        <v>440845</v>
      </c>
      <c r="H152" s="234"/>
      <c r="I152" s="193"/>
      <c r="J152" s="63"/>
    </row>
    <row r="153" spans="1:10">
      <c r="A153" s="75" t="s">
        <v>45</v>
      </c>
      <c r="B153" s="94"/>
      <c r="C153" s="460"/>
      <c r="D153" s="555"/>
      <c r="E153" s="457"/>
      <c r="F153" s="445"/>
      <c r="G153" s="501"/>
      <c r="H153" s="222"/>
      <c r="I153" s="84"/>
      <c r="J153" s="99"/>
    </row>
    <row r="154" spans="1:10">
      <c r="A154" s="100" t="s">
        <v>420</v>
      </c>
      <c r="B154" s="85">
        <v>52429.98</v>
      </c>
      <c r="C154" s="530">
        <v>60458</v>
      </c>
      <c r="D154" s="555">
        <v>0</v>
      </c>
      <c r="E154" s="81"/>
      <c r="F154" s="443">
        <v>65000</v>
      </c>
      <c r="G154" s="498">
        <v>65000</v>
      </c>
      <c r="H154" s="219">
        <v>2850</v>
      </c>
      <c r="I154" s="84" t="s">
        <v>442</v>
      </c>
      <c r="J154" s="99"/>
    </row>
    <row r="155" spans="1:10">
      <c r="A155" s="100" t="s">
        <v>432</v>
      </c>
      <c r="B155" s="80">
        <v>9617.15</v>
      </c>
      <c r="C155" s="527">
        <v>0</v>
      </c>
      <c r="D155" s="555">
        <v>0</v>
      </c>
      <c r="E155" s="81"/>
      <c r="F155" s="443">
        <v>0</v>
      </c>
      <c r="G155" s="498">
        <v>0</v>
      </c>
      <c r="H155" s="219" t="s">
        <v>215</v>
      </c>
      <c r="I155" s="84"/>
      <c r="J155" s="99"/>
    </row>
    <row r="156" spans="1:10" s="99" customFormat="1">
      <c r="A156" s="150" t="s">
        <v>433</v>
      </c>
      <c r="B156" s="139">
        <v>8667.08</v>
      </c>
      <c r="C156" s="539">
        <v>14459</v>
      </c>
      <c r="D156" s="566">
        <v>0</v>
      </c>
      <c r="E156" s="140"/>
      <c r="F156" s="451">
        <v>20000</v>
      </c>
      <c r="G156" s="513">
        <v>20000</v>
      </c>
      <c r="H156" s="235" t="s">
        <v>215</v>
      </c>
      <c r="I156" s="194" t="s">
        <v>443</v>
      </c>
    </row>
    <row r="157" spans="1:10" s="99" customFormat="1">
      <c r="A157" s="100" t="s">
        <v>434</v>
      </c>
      <c r="B157" s="85">
        <v>13377</v>
      </c>
      <c r="C157" s="530">
        <v>10073</v>
      </c>
      <c r="D157" s="561">
        <v>3580</v>
      </c>
      <c r="E157" s="114"/>
      <c r="F157" s="443">
        <v>20000</v>
      </c>
      <c r="G157" s="498">
        <v>20000</v>
      </c>
      <c r="H157" s="219" t="s">
        <v>215</v>
      </c>
      <c r="I157" s="84"/>
    </row>
    <row r="158" spans="1:10">
      <c r="A158" s="100" t="s">
        <v>435</v>
      </c>
      <c r="B158" s="80">
        <v>32688.27</v>
      </c>
      <c r="C158" s="527">
        <v>19080</v>
      </c>
      <c r="D158" s="555">
        <v>6360</v>
      </c>
      <c r="E158" s="81"/>
      <c r="F158" s="443">
        <v>30000</v>
      </c>
      <c r="G158" s="498">
        <v>30000</v>
      </c>
      <c r="H158" s="219">
        <v>2845</v>
      </c>
      <c r="I158" s="84" t="s">
        <v>444</v>
      </c>
      <c r="J158" s="99"/>
    </row>
    <row r="159" spans="1:10">
      <c r="A159" s="100" t="s">
        <v>436</v>
      </c>
      <c r="B159" s="80">
        <v>9904.31</v>
      </c>
      <c r="C159" s="527">
        <v>10172</v>
      </c>
      <c r="D159" s="555">
        <v>0</v>
      </c>
      <c r="E159" s="81"/>
      <c r="F159" s="443">
        <v>10000</v>
      </c>
      <c r="G159" s="498">
        <v>10000</v>
      </c>
      <c r="H159" s="222">
        <v>2200</v>
      </c>
      <c r="I159" s="84" t="s">
        <v>445</v>
      </c>
      <c r="J159" s="99"/>
    </row>
    <row r="160" spans="1:10">
      <c r="A160" s="100" t="s">
        <v>437</v>
      </c>
      <c r="B160" s="80">
        <v>5682.8</v>
      </c>
      <c r="C160" s="527">
        <v>6259</v>
      </c>
      <c r="D160" s="555">
        <v>1981.51</v>
      </c>
      <c r="E160" s="81"/>
      <c r="F160" s="443">
        <v>8000</v>
      </c>
      <c r="G160" s="498">
        <v>8000</v>
      </c>
      <c r="H160" s="219">
        <v>2845</v>
      </c>
      <c r="I160" s="84"/>
      <c r="J160" s="99"/>
    </row>
    <row r="161" spans="1:10">
      <c r="A161" s="100" t="s">
        <v>438</v>
      </c>
      <c r="B161" s="80">
        <v>319.88</v>
      </c>
      <c r="C161" s="527">
        <v>249</v>
      </c>
      <c r="D161" s="555">
        <v>129.96</v>
      </c>
      <c r="E161" s="81"/>
      <c r="F161" s="443">
        <v>500</v>
      </c>
      <c r="G161" s="498">
        <v>500</v>
      </c>
      <c r="H161" s="219">
        <v>2845</v>
      </c>
      <c r="I161" s="84"/>
      <c r="J161" s="99"/>
    </row>
    <row r="162" spans="1:10">
      <c r="A162" s="100" t="s">
        <v>439</v>
      </c>
      <c r="B162" s="80">
        <v>9787.7099999999991</v>
      </c>
      <c r="C162" s="527">
        <v>8703</v>
      </c>
      <c r="D162" s="555">
        <v>0</v>
      </c>
      <c r="E162" s="81"/>
      <c r="F162" s="443">
        <v>20000</v>
      </c>
      <c r="G162" s="498">
        <v>20000</v>
      </c>
      <c r="H162" s="222">
        <v>2200</v>
      </c>
      <c r="I162" s="84"/>
      <c r="J162" s="99"/>
    </row>
    <row r="163" spans="1:10">
      <c r="A163" s="100" t="s">
        <v>440</v>
      </c>
      <c r="B163" s="80">
        <v>551.30999999999995</v>
      </c>
      <c r="C163" s="527">
        <v>0</v>
      </c>
      <c r="D163" s="555">
        <v>450</v>
      </c>
      <c r="E163" s="81"/>
      <c r="F163" s="443">
        <v>0</v>
      </c>
      <c r="G163" s="498">
        <v>0</v>
      </c>
      <c r="H163" s="222">
        <v>2200</v>
      </c>
      <c r="I163" s="84"/>
      <c r="J163" s="99"/>
    </row>
    <row r="164" spans="1:10">
      <c r="A164" s="100" t="s">
        <v>441</v>
      </c>
      <c r="B164" s="80">
        <v>46837.65</v>
      </c>
      <c r="C164" s="527">
        <v>35808</v>
      </c>
      <c r="D164" s="555">
        <v>20227.509999999998</v>
      </c>
      <c r="E164" s="81"/>
      <c r="F164" s="443">
        <v>55000</v>
      </c>
      <c r="G164" s="498">
        <v>55000</v>
      </c>
      <c r="H164" s="219" t="s">
        <v>107</v>
      </c>
      <c r="I164" s="84" t="s">
        <v>455</v>
      </c>
      <c r="J164" s="99"/>
    </row>
    <row r="165" spans="1:10">
      <c r="A165" s="151" t="s">
        <v>141</v>
      </c>
      <c r="B165" s="152">
        <v>26333.4</v>
      </c>
      <c r="C165" s="543">
        <v>17535</v>
      </c>
      <c r="D165" s="569">
        <v>8658.2800000000007</v>
      </c>
      <c r="E165" s="153"/>
      <c r="F165" s="443">
        <v>25000</v>
      </c>
      <c r="G165" s="498">
        <v>25000</v>
      </c>
      <c r="H165" s="219">
        <v>2410</v>
      </c>
      <c r="I165" s="84" t="s">
        <v>477</v>
      </c>
      <c r="J165" s="99"/>
    </row>
    <row r="166" spans="1:10">
      <c r="A166" s="151" t="s">
        <v>421</v>
      </c>
      <c r="B166" s="152">
        <v>2667</v>
      </c>
      <c r="C166" s="543">
        <v>0</v>
      </c>
      <c r="D166" s="569">
        <v>13248.78</v>
      </c>
      <c r="E166" s="153"/>
      <c r="F166" s="443">
        <v>4000</v>
      </c>
      <c r="G166" s="498">
        <v>15000</v>
      </c>
      <c r="H166" s="219">
        <v>3100</v>
      </c>
      <c r="I166" s="84" t="s">
        <v>678</v>
      </c>
      <c r="J166" s="99"/>
    </row>
    <row r="167" spans="1:10" ht="16" thickBot="1">
      <c r="A167" s="154" t="s">
        <v>422</v>
      </c>
      <c r="B167" s="155">
        <v>391453.92</v>
      </c>
      <c r="C167" s="544">
        <v>126882</v>
      </c>
      <c r="D167" s="568">
        <v>31164</v>
      </c>
      <c r="E167" s="149"/>
      <c r="F167" s="454">
        <v>140000</v>
      </c>
      <c r="G167" s="516">
        <f>318*G3</f>
        <v>127200</v>
      </c>
      <c r="H167" s="238" t="s">
        <v>217</v>
      </c>
      <c r="I167" s="197" t="s">
        <v>668</v>
      </c>
      <c r="J167" s="99"/>
    </row>
    <row r="168" spans="1:10" s="64" customFormat="1" ht="16">
      <c r="A168" s="135" t="s">
        <v>46</v>
      </c>
      <c r="B168" s="136">
        <f>SUM(B153:B167)</f>
        <v>610317.46</v>
      </c>
      <c r="C168" s="136">
        <f t="shared" ref="C168:G168" si="4">SUM(C153:C167)</f>
        <v>309678</v>
      </c>
      <c r="D168" s="136">
        <f t="shared" si="4"/>
        <v>85800.04</v>
      </c>
      <c r="E168" s="479">
        <f>Table13[[#This Row],[FY25 Actuals through 9/30/24]]/F168</f>
        <v>0.2158491572327044</v>
      </c>
      <c r="F168" s="136">
        <f t="shared" si="4"/>
        <v>397500</v>
      </c>
      <c r="G168" s="512">
        <f t="shared" si="4"/>
        <v>395700</v>
      </c>
      <c r="H168" s="234"/>
      <c r="I168" s="193"/>
      <c r="J168" s="63"/>
    </row>
    <row r="169" spans="1:10">
      <c r="A169" s="75" t="s">
        <v>47</v>
      </c>
      <c r="B169" s="94"/>
      <c r="C169" s="460"/>
      <c r="D169" s="557"/>
      <c r="E169" s="457"/>
      <c r="F169" s="445"/>
      <c r="G169" s="501"/>
      <c r="H169" s="222"/>
      <c r="I169" s="84"/>
      <c r="J169" s="99"/>
    </row>
    <row r="170" spans="1:10">
      <c r="A170" s="75" t="s">
        <v>48</v>
      </c>
      <c r="B170" s="80">
        <v>16261.17</v>
      </c>
      <c r="C170" s="527">
        <v>8782</v>
      </c>
      <c r="D170" s="555">
        <v>11465.59</v>
      </c>
      <c r="E170" s="81"/>
      <c r="F170" s="443">
        <v>20000</v>
      </c>
      <c r="G170" s="498">
        <v>20000</v>
      </c>
      <c r="H170" s="219" t="s">
        <v>124</v>
      </c>
      <c r="I170" s="156"/>
      <c r="J170" s="99"/>
    </row>
    <row r="171" spans="1:10">
      <c r="A171" s="75" t="s">
        <v>140</v>
      </c>
      <c r="B171" s="80">
        <v>23475.88</v>
      </c>
      <c r="C171" s="527">
        <v>31542</v>
      </c>
      <c r="D171" s="555">
        <v>9257.43</v>
      </c>
      <c r="E171" s="81"/>
      <c r="F171" s="443">
        <v>35000</v>
      </c>
      <c r="G171" s="498">
        <v>30000</v>
      </c>
      <c r="H171" s="219" t="s">
        <v>124</v>
      </c>
      <c r="I171" s="156"/>
      <c r="J171" s="99"/>
    </row>
    <row r="172" spans="1:10">
      <c r="A172" s="75" t="s">
        <v>49</v>
      </c>
      <c r="B172" s="80">
        <v>6726.24</v>
      </c>
      <c r="C172" s="527">
        <v>10173</v>
      </c>
      <c r="D172" s="555">
        <v>4271.33</v>
      </c>
      <c r="E172" s="81"/>
      <c r="F172" s="443">
        <v>15000</v>
      </c>
      <c r="G172" s="498">
        <v>15000</v>
      </c>
      <c r="H172" s="219" t="s">
        <v>107</v>
      </c>
      <c r="I172" s="156"/>
      <c r="J172" s="99"/>
    </row>
    <row r="173" spans="1:10">
      <c r="A173" s="75" t="s">
        <v>50</v>
      </c>
      <c r="B173" s="80">
        <v>0</v>
      </c>
      <c r="C173" s="527">
        <v>0</v>
      </c>
      <c r="D173" s="555">
        <v>0</v>
      </c>
      <c r="E173" s="81"/>
      <c r="F173" s="443">
        <v>500</v>
      </c>
      <c r="G173" s="498">
        <v>500</v>
      </c>
      <c r="H173" s="219" t="s">
        <v>218</v>
      </c>
      <c r="I173" s="156"/>
      <c r="J173" s="99"/>
    </row>
    <row r="174" spans="1:10">
      <c r="A174" s="75" t="s">
        <v>51</v>
      </c>
      <c r="B174" s="80">
        <v>431.8</v>
      </c>
      <c r="C174" s="527">
        <v>1019</v>
      </c>
      <c r="D174" s="555">
        <v>14.47</v>
      </c>
      <c r="E174" s="81"/>
      <c r="F174" s="443">
        <v>1200</v>
      </c>
      <c r="G174" s="498">
        <v>1200</v>
      </c>
      <c r="H174" s="219" t="s">
        <v>124</v>
      </c>
      <c r="I174" s="156"/>
      <c r="J174" s="99"/>
    </row>
    <row r="175" spans="1:10">
      <c r="A175" s="75" t="s">
        <v>52</v>
      </c>
      <c r="B175" s="80">
        <v>2503.8200000000002</v>
      </c>
      <c r="C175" s="527">
        <v>2355</v>
      </c>
      <c r="D175" s="555">
        <v>629.08000000000004</v>
      </c>
      <c r="E175" s="81"/>
      <c r="F175" s="443">
        <v>2100</v>
      </c>
      <c r="G175" s="498">
        <v>2100</v>
      </c>
      <c r="H175" s="219" t="s">
        <v>102</v>
      </c>
      <c r="I175" s="156"/>
      <c r="J175" s="99"/>
    </row>
    <row r="176" spans="1:10">
      <c r="A176" s="75" t="s">
        <v>53</v>
      </c>
      <c r="B176" s="80">
        <v>1516.91</v>
      </c>
      <c r="C176" s="527">
        <v>2278</v>
      </c>
      <c r="D176" s="555">
        <v>548.49</v>
      </c>
      <c r="E176" s="81"/>
      <c r="F176" s="443">
        <v>2000</v>
      </c>
      <c r="G176" s="498">
        <v>2000</v>
      </c>
      <c r="H176" s="219" t="s">
        <v>102</v>
      </c>
      <c r="I176" s="156"/>
      <c r="J176" s="99"/>
    </row>
    <row r="177" spans="1:10">
      <c r="A177" s="75" t="s">
        <v>54</v>
      </c>
      <c r="B177" s="80">
        <v>13516.87</v>
      </c>
      <c r="C177" s="527">
        <v>23052</v>
      </c>
      <c r="D177" s="555">
        <v>6642.18</v>
      </c>
      <c r="E177" s="81"/>
      <c r="F177" s="443">
        <v>20000</v>
      </c>
      <c r="G177" s="498">
        <v>22000</v>
      </c>
      <c r="H177" s="219" t="s">
        <v>107</v>
      </c>
      <c r="I177" s="156"/>
      <c r="J177" s="99"/>
    </row>
    <row r="178" spans="1:10">
      <c r="A178" s="75" t="s">
        <v>55</v>
      </c>
      <c r="B178" s="80">
        <v>4047.27</v>
      </c>
      <c r="C178" s="527">
        <v>5837</v>
      </c>
      <c r="D178" s="555">
        <v>1384.48</v>
      </c>
      <c r="E178" s="81"/>
      <c r="F178" s="443">
        <v>7000</v>
      </c>
      <c r="G178" s="498">
        <v>7000</v>
      </c>
      <c r="H178" s="219" t="s">
        <v>107</v>
      </c>
      <c r="I178" s="156"/>
      <c r="J178" s="99"/>
    </row>
    <row r="179" spans="1:10">
      <c r="A179" s="75" t="s">
        <v>56</v>
      </c>
      <c r="B179" s="80">
        <v>701.26</v>
      </c>
      <c r="C179" s="527">
        <v>632</v>
      </c>
      <c r="D179" s="555">
        <v>0</v>
      </c>
      <c r="E179" s="81"/>
      <c r="F179" s="443">
        <v>1000</v>
      </c>
      <c r="G179" s="498">
        <v>1000</v>
      </c>
      <c r="H179" s="219" t="s">
        <v>102</v>
      </c>
      <c r="I179" s="156"/>
      <c r="J179" s="99"/>
    </row>
    <row r="180" spans="1:10">
      <c r="A180" s="98" t="s">
        <v>511</v>
      </c>
      <c r="B180" s="80">
        <v>0</v>
      </c>
      <c r="C180" s="527">
        <v>2058</v>
      </c>
      <c r="D180" s="555">
        <v>0</v>
      </c>
      <c r="E180" s="81"/>
      <c r="F180" s="443">
        <v>2000</v>
      </c>
      <c r="G180" s="498">
        <v>2000</v>
      </c>
      <c r="H180" s="219" t="s">
        <v>102</v>
      </c>
      <c r="I180" s="156"/>
      <c r="J180" s="99"/>
    </row>
    <row r="181" spans="1:10">
      <c r="A181" s="75" t="s">
        <v>540</v>
      </c>
      <c r="B181" s="80">
        <f>310.27+127.61</f>
        <v>437.88</v>
      </c>
      <c r="C181" s="527">
        <v>709</v>
      </c>
      <c r="D181" s="555">
        <v>402.09</v>
      </c>
      <c r="E181" s="81"/>
      <c r="F181" s="443">
        <v>1000</v>
      </c>
      <c r="G181" s="498">
        <v>1000</v>
      </c>
      <c r="H181" s="219" t="s">
        <v>219</v>
      </c>
      <c r="I181" s="156"/>
      <c r="J181" s="99"/>
    </row>
    <row r="182" spans="1:10">
      <c r="A182" s="75" t="s">
        <v>57</v>
      </c>
      <c r="B182" s="80">
        <v>0</v>
      </c>
      <c r="C182" s="527">
        <v>0</v>
      </c>
      <c r="D182" s="555">
        <v>246.92</v>
      </c>
      <c r="E182" s="81"/>
      <c r="F182" s="443">
        <v>0</v>
      </c>
      <c r="G182" s="498">
        <v>0</v>
      </c>
      <c r="H182" s="219" t="s">
        <v>107</v>
      </c>
      <c r="I182" s="156"/>
      <c r="J182" s="99"/>
    </row>
    <row r="183" spans="1:10">
      <c r="A183" s="145" t="s">
        <v>58</v>
      </c>
      <c r="B183" s="146">
        <v>11052.9</v>
      </c>
      <c r="C183" s="541">
        <v>14580</v>
      </c>
      <c r="D183" s="562">
        <v>3248.81</v>
      </c>
      <c r="E183" s="119"/>
      <c r="F183" s="453">
        <v>25000</v>
      </c>
      <c r="G183" s="515">
        <v>20000</v>
      </c>
      <c r="H183" s="237" t="s">
        <v>116</v>
      </c>
      <c r="I183" s="198"/>
      <c r="J183" s="99"/>
    </row>
    <row r="184" spans="1:10">
      <c r="A184" s="145" t="s">
        <v>59</v>
      </c>
      <c r="B184" s="146">
        <v>4720.87</v>
      </c>
      <c r="C184" s="541">
        <v>5066</v>
      </c>
      <c r="D184" s="562">
        <v>722.93</v>
      </c>
      <c r="E184" s="119"/>
      <c r="F184" s="453">
        <v>0</v>
      </c>
      <c r="G184" s="515">
        <v>0</v>
      </c>
      <c r="H184" s="237" t="s">
        <v>116</v>
      </c>
      <c r="I184" s="198"/>
      <c r="J184" s="99"/>
    </row>
    <row r="185" spans="1:10">
      <c r="A185" s="98" t="s">
        <v>510</v>
      </c>
      <c r="B185" s="80">
        <v>0</v>
      </c>
      <c r="C185" s="527">
        <v>0</v>
      </c>
      <c r="D185" s="555">
        <v>803.42</v>
      </c>
      <c r="E185" s="81"/>
      <c r="F185" s="443">
        <v>5000</v>
      </c>
      <c r="G185" s="498">
        <v>5000</v>
      </c>
      <c r="H185" s="219">
        <v>1700</v>
      </c>
      <c r="I185" s="134" t="s">
        <v>496</v>
      </c>
      <c r="J185" s="99"/>
    </row>
    <row r="186" spans="1:10">
      <c r="A186" s="75" t="s">
        <v>60</v>
      </c>
      <c r="B186" s="80">
        <v>12646.68</v>
      </c>
      <c r="C186" s="527">
        <v>8158</v>
      </c>
      <c r="D186" s="555">
        <v>666.99</v>
      </c>
      <c r="E186" s="81"/>
      <c r="F186" s="443">
        <v>20000</v>
      </c>
      <c r="G186" s="498">
        <v>15000</v>
      </c>
      <c r="H186" s="219" t="s">
        <v>116</v>
      </c>
      <c r="I186" s="156"/>
      <c r="J186" s="99"/>
    </row>
    <row r="187" spans="1:10">
      <c r="A187" s="75" t="s">
        <v>61</v>
      </c>
      <c r="B187" s="80">
        <v>19326</v>
      </c>
      <c r="C187" s="527">
        <v>17288</v>
      </c>
      <c r="D187" s="555">
        <v>4735</v>
      </c>
      <c r="E187" s="81"/>
      <c r="F187" s="443">
        <v>25000</v>
      </c>
      <c r="G187" s="498">
        <v>21000</v>
      </c>
      <c r="H187" s="219" t="s">
        <v>116</v>
      </c>
      <c r="I187" s="156"/>
      <c r="J187" s="99"/>
    </row>
    <row r="188" spans="1:10">
      <c r="A188" s="157" t="s">
        <v>512</v>
      </c>
      <c r="B188" s="80">
        <v>42.55</v>
      </c>
      <c r="C188" s="527">
        <v>0</v>
      </c>
      <c r="D188" s="555">
        <v>205.13</v>
      </c>
      <c r="E188" s="81"/>
      <c r="F188" s="443">
        <v>2500</v>
      </c>
      <c r="G188" s="498">
        <v>0</v>
      </c>
      <c r="H188" s="219" t="s">
        <v>130</v>
      </c>
      <c r="I188" s="156"/>
      <c r="J188" s="99"/>
    </row>
    <row r="189" spans="1:10">
      <c r="A189" s="75" t="s">
        <v>62</v>
      </c>
      <c r="B189" s="80">
        <v>580.20000000000005</v>
      </c>
      <c r="C189" s="527">
        <v>0</v>
      </c>
      <c r="D189" s="555">
        <v>17742.25</v>
      </c>
      <c r="E189" s="81"/>
      <c r="F189" s="443">
        <v>10000</v>
      </c>
      <c r="G189" s="498">
        <v>20000</v>
      </c>
      <c r="H189" s="219" t="s">
        <v>124</v>
      </c>
      <c r="I189" s="156"/>
      <c r="J189" s="99"/>
    </row>
    <row r="190" spans="1:10" ht="16" thickBot="1">
      <c r="A190" s="86" t="s">
        <v>652</v>
      </c>
      <c r="B190" s="87">
        <v>14774.7</v>
      </c>
      <c r="C190" s="531">
        <f>297+19547</f>
        <v>19844</v>
      </c>
      <c r="D190" s="556">
        <v>16406.34</v>
      </c>
      <c r="E190" s="88"/>
      <c r="F190" s="444">
        <v>35000</v>
      </c>
      <c r="G190" s="499">
        <v>25000</v>
      </c>
      <c r="H190" s="220" t="s">
        <v>124</v>
      </c>
      <c r="I190" s="158" t="s">
        <v>520</v>
      </c>
      <c r="J190" s="99"/>
    </row>
    <row r="191" spans="1:10" s="64" customFormat="1" ht="16">
      <c r="A191" s="135" t="s">
        <v>63</v>
      </c>
      <c r="B191" s="136">
        <f>SUM(B170:B190)</f>
        <v>132763</v>
      </c>
      <c r="C191" s="136">
        <f t="shared" ref="C191:F191" si="5">SUM(C170:C190)</f>
        <v>153373</v>
      </c>
      <c r="D191" s="136">
        <f t="shared" si="5"/>
        <v>79392.929999999993</v>
      </c>
      <c r="E191" s="479">
        <f>Table13[[#This Row],[FY25 Actuals through 9/30/24]]/F191</f>
        <v>0.34624042738770167</v>
      </c>
      <c r="F191" s="136">
        <f t="shared" si="5"/>
        <v>229300</v>
      </c>
      <c r="G191" s="512">
        <f t="shared" ref="G191" si="6">SUM(G170:G190)</f>
        <v>209800</v>
      </c>
      <c r="H191" s="234"/>
      <c r="I191" s="193"/>
      <c r="J191" s="63"/>
    </row>
    <row r="192" spans="1:10">
      <c r="A192" s="75" t="s">
        <v>64</v>
      </c>
      <c r="B192" s="94"/>
      <c r="C192" s="460"/>
      <c r="D192" s="555"/>
      <c r="E192" s="457"/>
      <c r="F192" s="445"/>
      <c r="G192" s="501"/>
      <c r="H192" s="222"/>
      <c r="I192" s="84"/>
      <c r="J192" s="99"/>
    </row>
    <row r="193" spans="1:10">
      <c r="A193" s="151" t="s">
        <v>423</v>
      </c>
      <c r="B193" s="469">
        <v>10151</v>
      </c>
      <c r="C193" s="545">
        <v>26225</v>
      </c>
      <c r="D193" s="561">
        <v>0</v>
      </c>
      <c r="E193" s="114"/>
      <c r="F193" s="470">
        <v>25000</v>
      </c>
      <c r="G193" s="517">
        <v>25000</v>
      </c>
      <c r="H193" s="219" t="s">
        <v>427</v>
      </c>
      <c r="I193" s="84"/>
      <c r="J193" s="99"/>
    </row>
    <row r="194" spans="1:10">
      <c r="A194" s="151" t="s">
        <v>424</v>
      </c>
      <c r="B194" s="469">
        <v>0</v>
      </c>
      <c r="C194" s="545">
        <v>0</v>
      </c>
      <c r="D194" s="561">
        <v>0</v>
      </c>
      <c r="E194" s="114"/>
      <c r="F194" s="445">
        <v>10000</v>
      </c>
      <c r="G194" s="501">
        <v>0</v>
      </c>
      <c r="H194" s="219" t="s">
        <v>116</v>
      </c>
      <c r="I194" s="84"/>
      <c r="J194" s="99"/>
    </row>
    <row r="195" spans="1:10">
      <c r="A195" s="100" t="s">
        <v>513</v>
      </c>
      <c r="B195" s="80">
        <v>0</v>
      </c>
      <c r="C195" s="527">
        <v>0</v>
      </c>
      <c r="D195" s="555">
        <v>0</v>
      </c>
      <c r="E195" s="81"/>
      <c r="F195" s="443">
        <v>0</v>
      </c>
      <c r="G195" s="498">
        <v>10000</v>
      </c>
      <c r="H195" s="219">
        <v>2900</v>
      </c>
      <c r="I195" s="84"/>
      <c r="J195" s="99"/>
    </row>
    <row r="196" spans="1:10">
      <c r="A196" s="100" t="s">
        <v>428</v>
      </c>
      <c r="B196" s="80">
        <v>7973.21</v>
      </c>
      <c r="C196" s="527">
        <v>24286</v>
      </c>
      <c r="D196" s="555">
        <v>48240.24</v>
      </c>
      <c r="E196" s="81"/>
      <c r="F196" s="443">
        <v>40000</v>
      </c>
      <c r="G196" s="498">
        <v>75000</v>
      </c>
      <c r="H196" s="219" t="s">
        <v>124</v>
      </c>
      <c r="I196" s="84"/>
      <c r="J196" s="99"/>
    </row>
    <row r="197" spans="1:10">
      <c r="A197" s="100" t="s">
        <v>425</v>
      </c>
      <c r="B197" s="85">
        <v>17476.650000000001</v>
      </c>
      <c r="C197" s="530">
        <v>0</v>
      </c>
      <c r="D197" s="555">
        <v>2995</v>
      </c>
      <c r="E197" s="81"/>
      <c r="F197" s="443">
        <v>35000</v>
      </c>
      <c r="G197" s="498">
        <v>20000</v>
      </c>
      <c r="H197" s="219" t="s">
        <v>107</v>
      </c>
      <c r="I197" s="84"/>
      <c r="J197" s="99"/>
    </row>
    <row r="198" spans="1:10" ht="16" thickBot="1">
      <c r="A198" s="103" t="s">
        <v>426</v>
      </c>
      <c r="B198" s="87">
        <f>20475.37-0.49</f>
        <v>20474.879999999997</v>
      </c>
      <c r="C198" s="531">
        <v>10605</v>
      </c>
      <c r="D198" s="556">
        <v>2295.0700000000002</v>
      </c>
      <c r="E198" s="88"/>
      <c r="F198" s="444">
        <v>21000</v>
      </c>
      <c r="G198" s="499">
        <v>12000</v>
      </c>
      <c r="H198" s="220" t="s">
        <v>107</v>
      </c>
      <c r="I198" s="89"/>
      <c r="J198" s="99"/>
    </row>
    <row r="199" spans="1:10" s="64" customFormat="1" ht="16">
      <c r="A199" s="135" t="s">
        <v>65</v>
      </c>
      <c r="B199" s="159">
        <f>SUM(B193:B198)</f>
        <v>56075.74</v>
      </c>
      <c r="C199" s="159">
        <f t="shared" ref="C199:G199" si="7">SUM(C193:C198)</f>
        <v>61116</v>
      </c>
      <c r="D199" s="159">
        <f t="shared" si="7"/>
        <v>53530.31</v>
      </c>
      <c r="E199" s="484">
        <f>Table13[[#This Row],[FY25 Actuals through 9/30/24]]/F199</f>
        <v>0.40862832061068699</v>
      </c>
      <c r="F199" s="159">
        <f t="shared" si="7"/>
        <v>131000</v>
      </c>
      <c r="G199" s="518">
        <f t="shared" si="7"/>
        <v>142000</v>
      </c>
      <c r="H199" s="239"/>
      <c r="I199" s="199"/>
      <c r="J199" s="63"/>
    </row>
    <row r="200" spans="1:10">
      <c r="A200" s="75" t="s">
        <v>66</v>
      </c>
      <c r="B200" s="94"/>
      <c r="C200" s="460"/>
      <c r="D200" s="557"/>
      <c r="E200" s="457"/>
      <c r="F200" s="445"/>
      <c r="G200" s="501"/>
      <c r="H200" s="222"/>
      <c r="I200" s="84"/>
      <c r="J200" s="99"/>
    </row>
    <row r="201" spans="1:10">
      <c r="A201" s="100" t="s">
        <v>429</v>
      </c>
      <c r="B201" s="80">
        <v>21590.41</v>
      </c>
      <c r="C201" s="527">
        <v>38547.35</v>
      </c>
      <c r="D201" s="555">
        <v>8282.83</v>
      </c>
      <c r="E201" s="81"/>
      <c r="F201" s="445">
        <v>2500</v>
      </c>
      <c r="G201" s="501">
        <v>25000</v>
      </c>
      <c r="H201" s="222">
        <v>2410</v>
      </c>
      <c r="I201" s="84"/>
      <c r="J201" s="99"/>
    </row>
    <row r="202" spans="1:10">
      <c r="A202" s="100" t="s">
        <v>654</v>
      </c>
      <c r="B202" s="455"/>
      <c r="C202" s="527">
        <v>383140.6</v>
      </c>
      <c r="D202" s="555"/>
      <c r="E202" s="81" t="e">
        <f>Table13[[#This Row],[FY25 Actuals through 9/30/24]]/F202</f>
        <v>#DIV/0!</v>
      </c>
      <c r="F202" s="445"/>
      <c r="G202" s="501">
        <v>0</v>
      </c>
      <c r="H202" s="222"/>
      <c r="I202" s="84" t="s">
        <v>655</v>
      </c>
      <c r="J202" s="99"/>
    </row>
    <row r="203" spans="1:10" ht="16" thickBot="1">
      <c r="A203" s="103" t="s">
        <v>430</v>
      </c>
      <c r="B203" s="80">
        <v>9565</v>
      </c>
      <c r="C203" s="527">
        <v>0</v>
      </c>
      <c r="D203" s="556">
        <v>340</v>
      </c>
      <c r="E203" s="88"/>
      <c r="F203" s="444">
        <v>0</v>
      </c>
      <c r="G203" s="499">
        <f>1000</f>
        <v>1000</v>
      </c>
      <c r="H203" s="220" t="s">
        <v>88</v>
      </c>
      <c r="I203" s="89" t="s">
        <v>679</v>
      </c>
      <c r="J203" s="99"/>
    </row>
    <row r="204" spans="1:10" s="64" customFormat="1" ht="17" thickBot="1">
      <c r="A204" s="160" t="s">
        <v>67</v>
      </c>
      <c r="B204" s="161">
        <f>SUM(B201:B203)</f>
        <v>31155.41</v>
      </c>
      <c r="C204" s="161">
        <f t="shared" ref="C204:G204" si="8">SUM(C201:C203)</f>
        <v>421687.94999999995</v>
      </c>
      <c r="D204" s="161">
        <f t="shared" si="8"/>
        <v>8622.83</v>
      </c>
      <c r="E204" s="483">
        <f>Table13[[#This Row],[FY25 Actuals through 9/30/24]]/F204</f>
        <v>3.4491320000000001</v>
      </c>
      <c r="F204" s="161">
        <f t="shared" si="8"/>
        <v>2500</v>
      </c>
      <c r="G204" s="519">
        <f t="shared" si="8"/>
        <v>26000</v>
      </c>
      <c r="H204" s="240"/>
      <c r="I204" s="200"/>
      <c r="J204" s="63"/>
    </row>
    <row r="205" spans="1:10" s="64" customFormat="1">
      <c r="A205" s="163" t="s">
        <v>68</v>
      </c>
      <c r="B205" s="201">
        <f>B62+B124+B144+B152+B168+B191+B199+B204</f>
        <v>4161976.7</v>
      </c>
      <c r="C205" s="201">
        <f>C62+C124+C144+C152+C168+C191+C199+C204</f>
        <v>5044388.0000000009</v>
      </c>
      <c r="D205" s="201">
        <f>D62+D124+D144+D152+D168+D191+D199+D204</f>
        <v>1194875.4200000002</v>
      </c>
      <c r="E205" s="486">
        <f>Table13[[#This Row],[FY25 Actuals through 9/30/24]]/F205</f>
        <v>0.23734881737312286</v>
      </c>
      <c r="F205" s="201">
        <f>F62+F124+F144+F152+F168+F191+F199+F204</f>
        <v>5034259</v>
      </c>
      <c r="G205" s="520">
        <f>G62+G124+G144+G152+G168+G191+G199+G204</f>
        <v>5402168.0844149999</v>
      </c>
      <c r="H205" s="241"/>
      <c r="I205" s="162"/>
      <c r="J205" s="63"/>
    </row>
    <row r="206" spans="1:10" s="64" customFormat="1">
      <c r="A206" s="163"/>
      <c r="B206" s="164"/>
      <c r="C206" s="546"/>
      <c r="D206" s="165"/>
      <c r="E206" s="165"/>
      <c r="F206" s="445"/>
      <c r="G206" s="501"/>
      <c r="H206" s="242"/>
      <c r="I206" s="137"/>
      <c r="J206" s="63"/>
    </row>
    <row r="207" spans="1:10" s="64" customFormat="1" ht="17" thickBot="1">
      <c r="A207" s="268" t="s">
        <v>390</v>
      </c>
      <c r="B207" s="269">
        <f>B42-B205</f>
        <v>283506.88999999966</v>
      </c>
      <c r="C207" s="269">
        <f>C42-C205</f>
        <v>-10458.000000000931</v>
      </c>
      <c r="D207" s="269">
        <f>D42-D205</f>
        <v>197635.71999999997</v>
      </c>
      <c r="E207" s="485"/>
      <c r="F207" s="269">
        <f>F42-F205</f>
        <v>26999</v>
      </c>
      <c r="G207" s="521">
        <f>G42-G205</f>
        <v>38941.205585000105</v>
      </c>
      <c r="H207" s="270"/>
      <c r="I207" s="271"/>
      <c r="J207" s="63"/>
    </row>
    <row r="208" spans="1:10" ht="16" thickTop="1">
      <c r="A208" s="75"/>
      <c r="B208" s="94"/>
      <c r="C208" s="464"/>
      <c r="D208" s="570"/>
      <c r="E208" s="166"/>
      <c r="F208" s="550"/>
      <c r="G208" s="522"/>
      <c r="H208" s="222"/>
      <c r="I208" s="84"/>
    </row>
    <row r="209" spans="1:9" s="99" customFormat="1">
      <c r="A209" s="72" t="s">
        <v>521</v>
      </c>
      <c r="B209" s="80">
        <v>136000</v>
      </c>
      <c r="C209" s="527">
        <v>136000</v>
      </c>
      <c r="D209" s="555">
        <v>136000</v>
      </c>
      <c r="E209" s="81"/>
      <c r="F209" s="81">
        <v>136000</v>
      </c>
      <c r="G209" s="523">
        <v>136000</v>
      </c>
      <c r="H209" s="222"/>
      <c r="I209" s="84"/>
    </row>
    <row r="210" spans="1:9" s="99" customFormat="1">
      <c r="A210" s="72" t="s">
        <v>653</v>
      </c>
      <c r="B210" s="80">
        <v>0</v>
      </c>
      <c r="C210" s="527">
        <v>18186</v>
      </c>
      <c r="D210" s="555">
        <v>0</v>
      </c>
      <c r="E210" s="81"/>
      <c r="F210" s="81">
        <v>0</v>
      </c>
      <c r="G210" s="523">
        <v>0</v>
      </c>
      <c r="H210" s="222"/>
      <c r="I210" s="84"/>
    </row>
    <row r="211" spans="1:9" s="99" customFormat="1">
      <c r="A211" s="72" t="s">
        <v>523</v>
      </c>
      <c r="B211" s="80">
        <f>18735+3066610</f>
        <v>3085345</v>
      </c>
      <c r="C211" s="530">
        <f>3056703</f>
        <v>3056703</v>
      </c>
      <c r="D211" s="561">
        <f>C212-D209+D207</f>
        <v>3272524.7199999997</v>
      </c>
      <c r="E211" s="114"/>
      <c r="F211" s="114">
        <f>C212-F209+F207</f>
        <v>3101888</v>
      </c>
      <c r="G211" s="523">
        <f>C212-G209+G207</f>
        <v>3113830.2055850001</v>
      </c>
      <c r="H211" s="222"/>
      <c r="I211" s="129"/>
    </row>
    <row r="212" spans="1:9" s="63" customFormat="1" ht="16" thickBot="1">
      <c r="A212" s="72" t="s">
        <v>522</v>
      </c>
      <c r="B212" s="487">
        <f>SUM(B209:B211)</f>
        <v>3221345</v>
      </c>
      <c r="C212" s="487">
        <f>SUM(C209:C211)</f>
        <v>3210889</v>
      </c>
      <c r="D212" s="487">
        <f>SUM(D209:D211)</f>
        <v>3408524.7199999997</v>
      </c>
      <c r="E212" s="487"/>
      <c r="F212" s="487">
        <f>SUM(F209:F211)</f>
        <v>3237888</v>
      </c>
      <c r="G212" s="524">
        <f>SUM(G209:G211)</f>
        <v>3249830.2055850001</v>
      </c>
      <c r="H212" s="242"/>
      <c r="I212" s="137"/>
    </row>
    <row r="213" spans="1:9" s="99" customFormat="1" ht="16" thickBot="1">
      <c r="A213" s="75"/>
      <c r="B213" s="94"/>
      <c r="C213" s="460"/>
      <c r="D213" s="570"/>
      <c r="E213" s="166"/>
      <c r="F213" s="551"/>
      <c r="G213" s="522"/>
      <c r="H213" s="222"/>
      <c r="I213" s="84"/>
    </row>
    <row r="214" spans="1:9">
      <c r="A214" s="202" t="s">
        <v>518</v>
      </c>
      <c r="B214" s="167"/>
      <c r="C214" s="461"/>
      <c r="D214" s="571"/>
      <c r="E214" s="458"/>
      <c r="F214" s="552"/>
      <c r="G214" s="525"/>
      <c r="H214" s="243"/>
      <c r="I214" s="168"/>
    </row>
    <row r="215" spans="1:9" s="170" customFormat="1">
      <c r="A215" s="169" t="s">
        <v>495</v>
      </c>
      <c r="B215" s="80"/>
      <c r="C215" s="527">
        <v>302595.48</v>
      </c>
      <c r="D215" s="555">
        <v>50432.58</v>
      </c>
      <c r="E215" s="81"/>
      <c r="F215" s="81">
        <v>302595</v>
      </c>
      <c r="G215" s="523">
        <v>302595</v>
      </c>
      <c r="H215" s="244"/>
      <c r="I215" s="171"/>
    </row>
    <row r="216" spans="1:9" s="170" customFormat="1">
      <c r="A216" s="169" t="s">
        <v>517</v>
      </c>
      <c r="B216" s="80"/>
      <c r="C216" s="527">
        <v>326</v>
      </c>
      <c r="D216" s="555">
        <v>55.73</v>
      </c>
      <c r="E216" s="81"/>
      <c r="F216" s="81">
        <v>300</v>
      </c>
      <c r="G216" s="523">
        <v>300</v>
      </c>
      <c r="H216" s="244"/>
      <c r="I216" s="172"/>
    </row>
    <row r="217" spans="1:9" s="170" customFormat="1">
      <c r="A217" s="169" t="s">
        <v>533</v>
      </c>
      <c r="B217" s="80"/>
      <c r="C217" s="527">
        <v>383140.6</v>
      </c>
      <c r="D217" s="555">
        <v>0</v>
      </c>
      <c r="E217" s="81"/>
      <c r="F217" s="81">
        <v>0</v>
      </c>
      <c r="G217" s="523">
        <v>0</v>
      </c>
      <c r="H217" s="244"/>
      <c r="I217" s="172"/>
    </row>
    <row r="218" spans="1:9" s="170" customFormat="1">
      <c r="A218" s="169" t="s">
        <v>514</v>
      </c>
      <c r="B218" s="80"/>
      <c r="C218" s="527">
        <v>13</v>
      </c>
      <c r="D218" s="555">
        <v>3.85</v>
      </c>
      <c r="E218" s="81"/>
      <c r="F218" s="81">
        <v>10</v>
      </c>
      <c r="G218" s="523">
        <v>10</v>
      </c>
      <c r="H218" s="244"/>
      <c r="I218" s="171"/>
    </row>
    <row r="219" spans="1:9" s="170" customFormat="1">
      <c r="A219" s="169" t="s">
        <v>515</v>
      </c>
      <c r="B219" s="80"/>
      <c r="C219" s="527">
        <v>135605</v>
      </c>
      <c r="D219" s="555">
        <v>11068.69</v>
      </c>
      <c r="E219" s="81"/>
      <c r="F219" s="81">
        <v>136161</v>
      </c>
      <c r="G219" s="523">
        <f>F219</f>
        <v>136161</v>
      </c>
      <c r="H219" s="244"/>
      <c r="I219" s="172"/>
    </row>
    <row r="220" spans="1:9" s="170" customFormat="1">
      <c r="A220" s="169" t="s">
        <v>516</v>
      </c>
      <c r="B220" s="80"/>
      <c r="C220" s="527">
        <v>166990</v>
      </c>
      <c r="D220" s="555">
        <v>14147.6</v>
      </c>
      <c r="E220" s="81"/>
      <c r="F220" s="81">
        <v>166435</v>
      </c>
      <c r="G220" s="523">
        <f>F220</f>
        <v>166435</v>
      </c>
      <c r="H220" s="244"/>
      <c r="I220" s="172"/>
    </row>
    <row r="221" spans="1:9" s="170" customFormat="1" ht="16" thickBot="1">
      <c r="A221" s="169" t="s">
        <v>390</v>
      </c>
      <c r="B221" s="173">
        <f t="shared" ref="B221:F221" si="9">B215+B216+B217-B218-B219-B220</f>
        <v>0</v>
      </c>
      <c r="C221" s="529">
        <f t="shared" si="9"/>
        <v>383454.07999999996</v>
      </c>
      <c r="D221" s="529">
        <f t="shared" si="9"/>
        <v>25268.170000000006</v>
      </c>
      <c r="E221" s="173"/>
      <c r="F221" s="529">
        <f t="shared" si="9"/>
        <v>289</v>
      </c>
      <c r="G221" s="173">
        <f>G215+G216+G217-G218-G219-G220</f>
        <v>289</v>
      </c>
      <c r="H221" s="244"/>
      <c r="I221" s="171"/>
    </row>
    <row r="222" spans="1:9" s="170" customFormat="1">
      <c r="A222" s="169"/>
      <c r="B222" s="80"/>
      <c r="C222" s="459"/>
      <c r="D222" s="557"/>
      <c r="E222" s="457"/>
      <c r="F222" s="551"/>
      <c r="G222" s="522"/>
      <c r="H222" s="244"/>
      <c r="I222" s="172"/>
    </row>
    <row r="223" spans="1:9" s="170" customFormat="1">
      <c r="A223" s="169" t="s">
        <v>524</v>
      </c>
      <c r="B223" s="80">
        <f>25636</f>
        <v>25636</v>
      </c>
      <c r="C223" s="527">
        <v>25949</v>
      </c>
      <c r="D223" s="555">
        <v>0</v>
      </c>
      <c r="E223" s="81"/>
      <c r="F223" s="81">
        <f>C223+F221</f>
        <v>26238</v>
      </c>
      <c r="G223" s="522"/>
      <c r="H223" s="244"/>
      <c r="I223" s="172" t="s">
        <v>541</v>
      </c>
    </row>
    <row r="224" spans="1:9" s="170" customFormat="1" ht="16" thickBot="1">
      <c r="A224" s="174"/>
      <c r="B224" s="175"/>
      <c r="C224" s="462"/>
      <c r="D224" s="572"/>
      <c r="E224" s="176"/>
      <c r="F224" s="553"/>
      <c r="G224" s="526"/>
      <c r="H224" s="245"/>
      <c r="I224" s="177"/>
    </row>
    <row r="225" spans="1:8" s="170" customFormat="1">
      <c r="A225" s="178"/>
      <c r="B225" s="179"/>
      <c r="C225" s="463"/>
      <c r="D225" s="573"/>
      <c r="E225" s="180"/>
      <c r="F225" s="548"/>
      <c r="G225" s="181"/>
      <c r="H225" s="215"/>
    </row>
    <row r="226" spans="1:8" s="170" customFormat="1">
      <c r="A226" s="182"/>
      <c r="B226" s="179"/>
      <c r="C226" s="463"/>
      <c r="D226" s="573"/>
      <c r="E226" s="180"/>
      <c r="F226" s="548"/>
      <c r="G226" s="181"/>
      <c r="H226" s="215"/>
    </row>
  </sheetData>
  <mergeCells count="1">
    <mergeCell ref="B1:E1"/>
  </mergeCells>
  <phoneticPr fontId="67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27F7-C03F-4E07-A800-DFB2338F0309}">
  <sheetPr>
    <tabColor rgb="FF0070C0"/>
  </sheetPr>
  <dimension ref="A1:K226"/>
  <sheetViews>
    <sheetView zoomScaleNormal="100" workbookViewId="0">
      <pane ySplit="6" topLeftCell="A7" activePane="bottomLeft" state="frozen"/>
      <selection pane="bottomLeft" activeCell="B1" sqref="B1:E1"/>
    </sheetView>
  </sheetViews>
  <sheetFormatPr baseColWidth="10" defaultColWidth="8.83203125" defaultRowHeight="15"/>
  <cols>
    <col min="1" max="1" width="50.1640625" style="183" bestFit="1" customWidth="1"/>
    <col min="2" max="2" width="12.83203125" style="184" hidden="1" customWidth="1"/>
    <col min="3" max="3" width="12.83203125" style="463" hidden="1" customWidth="1"/>
    <col min="4" max="4" width="13.6640625" style="573" customWidth="1"/>
    <col min="5" max="5" width="12.6640625" style="180" customWidth="1"/>
    <col min="6" max="6" width="14.33203125" style="548" customWidth="1"/>
    <col min="7" max="7" width="17.1640625" style="181" customWidth="1"/>
    <col min="8" max="8" width="10.1640625" style="246" hidden="1" customWidth="1"/>
    <col min="9" max="9" width="80" style="83" hidden="1" customWidth="1"/>
    <col min="10" max="10" width="10.1640625" style="83" hidden="1" customWidth="1"/>
    <col min="11" max="11" width="11.83203125" style="83" hidden="1" customWidth="1"/>
    <col min="12" max="16384" width="8.83203125" style="83"/>
  </cols>
  <sheetData>
    <row r="1" spans="1:10" s="64" customFormat="1" ht="42" customHeight="1">
      <c r="A1" s="267" t="s">
        <v>69</v>
      </c>
      <c r="B1" s="584"/>
      <c r="C1" s="584"/>
      <c r="D1" s="584"/>
      <c r="E1" s="584"/>
      <c r="F1" s="548"/>
      <c r="G1" s="493"/>
      <c r="H1" s="214"/>
      <c r="I1" s="62"/>
    </row>
    <row r="2" spans="1:10" s="63" customFormat="1">
      <c r="A2" s="65" t="s">
        <v>452</v>
      </c>
      <c r="B2" s="65"/>
      <c r="C2" s="466"/>
      <c r="D2" s="488"/>
      <c r="E2" s="66"/>
      <c r="F2" s="66">
        <v>10794.08</v>
      </c>
      <c r="G2" s="494">
        <f>10982.13</f>
        <v>10982.13</v>
      </c>
      <c r="H2" s="215"/>
      <c r="I2" s="63" t="s">
        <v>667</v>
      </c>
    </row>
    <row r="3" spans="1:10" s="70" customFormat="1" ht="16">
      <c r="A3" s="68" t="s">
        <v>647</v>
      </c>
      <c r="B3" s="266">
        <v>396</v>
      </c>
      <c r="C3" s="467">
        <v>399</v>
      </c>
      <c r="D3" s="489"/>
      <c r="E3" s="69"/>
      <c r="F3" s="69">
        <v>399</v>
      </c>
      <c r="G3" s="495">
        <v>400</v>
      </c>
      <c r="H3" s="216"/>
    </row>
    <row r="4" spans="1:10" s="70" customFormat="1" ht="16">
      <c r="A4" s="67"/>
      <c r="B4" s="68"/>
      <c r="C4" s="491"/>
      <c r="D4" s="490"/>
      <c r="E4" s="71"/>
      <c r="F4" s="442"/>
      <c r="G4" s="496"/>
      <c r="H4" s="216"/>
    </row>
    <row r="5" spans="1:10" s="74" customFormat="1">
      <c r="A5" s="72"/>
      <c r="B5" s="72"/>
      <c r="C5" s="72"/>
      <c r="D5" s="73">
        <f>3/12</f>
        <v>0.25</v>
      </c>
      <c r="E5" s="73"/>
      <c r="F5" s="549"/>
      <c r="G5" s="497"/>
      <c r="H5" s="217"/>
    </row>
    <row r="6" spans="1:10" s="79" customFormat="1" ht="48">
      <c r="A6" s="75" t="s">
        <v>0</v>
      </c>
      <c r="B6" s="77" t="s">
        <v>494</v>
      </c>
      <c r="C6" s="76" t="s">
        <v>644</v>
      </c>
      <c r="D6" s="582" t="s">
        <v>658</v>
      </c>
      <c r="E6" s="583" t="s">
        <v>659</v>
      </c>
      <c r="F6" s="442" t="s">
        <v>643</v>
      </c>
      <c r="G6" s="496" t="s">
        <v>642</v>
      </c>
      <c r="H6" s="218" t="s">
        <v>211</v>
      </c>
      <c r="I6" s="78" t="s">
        <v>383</v>
      </c>
      <c r="J6" s="78" t="s">
        <v>670</v>
      </c>
    </row>
    <row r="7" spans="1:10">
      <c r="A7" s="75" t="s">
        <v>150</v>
      </c>
      <c r="B7" s="80">
        <v>62725.4</v>
      </c>
      <c r="C7" s="527">
        <v>20555</v>
      </c>
      <c r="D7" s="555">
        <v>4400</v>
      </c>
      <c r="E7" s="474"/>
      <c r="F7" s="443">
        <v>15184</v>
      </c>
      <c r="G7" s="498">
        <f>15000+184</f>
        <v>15184</v>
      </c>
      <c r="H7" s="219" t="s">
        <v>87</v>
      </c>
      <c r="I7" s="82"/>
      <c r="J7" s="99"/>
    </row>
    <row r="8" spans="1:10">
      <c r="A8" s="75" t="s">
        <v>1</v>
      </c>
      <c r="B8" s="80">
        <v>27986.53</v>
      </c>
      <c r="C8" s="527">
        <v>39273</v>
      </c>
      <c r="D8" s="555">
        <v>27123.13</v>
      </c>
      <c r="E8" s="474"/>
      <c r="F8" s="443">
        <v>20000</v>
      </c>
      <c r="G8" s="498">
        <v>60000</v>
      </c>
      <c r="H8" s="219" t="s">
        <v>87</v>
      </c>
      <c r="I8" s="84"/>
      <c r="J8" s="99"/>
    </row>
    <row r="9" spans="1:10">
      <c r="A9" s="75" t="s">
        <v>2</v>
      </c>
      <c r="B9" s="80">
        <v>19014.3</v>
      </c>
      <c r="C9" s="527">
        <v>23983</v>
      </c>
      <c r="D9" s="555">
        <v>15880</v>
      </c>
      <c r="E9" s="474"/>
      <c r="F9" s="443">
        <v>20000</v>
      </c>
      <c r="G9" s="498">
        <v>20000</v>
      </c>
      <c r="H9" s="219" t="s">
        <v>87</v>
      </c>
      <c r="I9" s="84" t="s">
        <v>645</v>
      </c>
      <c r="J9" s="99"/>
    </row>
    <row r="10" spans="1:10">
      <c r="A10" s="75" t="s">
        <v>3</v>
      </c>
      <c r="B10" s="80">
        <v>240</v>
      </c>
      <c r="C10" s="527">
        <v>640</v>
      </c>
      <c r="D10" s="555">
        <v>260</v>
      </c>
      <c r="E10" s="474"/>
      <c r="F10" s="443">
        <v>500</v>
      </c>
      <c r="G10" s="498">
        <v>500</v>
      </c>
      <c r="H10" s="219" t="s">
        <v>87</v>
      </c>
      <c r="I10" s="84" t="s">
        <v>384</v>
      </c>
      <c r="J10" s="99"/>
    </row>
    <row r="11" spans="1:10">
      <c r="A11" s="75" t="s">
        <v>401</v>
      </c>
      <c r="B11" s="80">
        <v>2042.9</v>
      </c>
      <c r="C11" s="527">
        <v>2094</v>
      </c>
      <c r="D11" s="555">
        <v>549.09</v>
      </c>
      <c r="E11" s="474"/>
      <c r="F11" s="443">
        <v>1000</v>
      </c>
      <c r="G11" s="498">
        <v>1000</v>
      </c>
      <c r="H11" s="219" t="s">
        <v>87</v>
      </c>
      <c r="I11" s="84" t="s">
        <v>646</v>
      </c>
      <c r="J11" s="99"/>
    </row>
    <row r="12" spans="1:10">
      <c r="A12" s="75" t="s">
        <v>402</v>
      </c>
      <c r="B12" s="85">
        <v>18863.87</v>
      </c>
      <c r="C12" s="530">
        <v>21318</v>
      </c>
      <c r="D12" s="555">
        <v>22053.89</v>
      </c>
      <c r="E12" s="474"/>
      <c r="F12" s="443">
        <v>20000</v>
      </c>
      <c r="G12" s="498">
        <v>22000</v>
      </c>
      <c r="H12" s="219" t="s">
        <v>87</v>
      </c>
      <c r="I12" s="84" t="s">
        <v>531</v>
      </c>
      <c r="J12" s="99"/>
    </row>
    <row r="13" spans="1:10">
      <c r="A13" s="75" t="s">
        <v>4</v>
      </c>
      <c r="B13" s="80">
        <v>1160</v>
      </c>
      <c r="C13" s="527">
        <v>358</v>
      </c>
      <c r="D13" s="555">
        <v>190</v>
      </c>
      <c r="E13" s="474"/>
      <c r="F13" s="443">
        <v>350</v>
      </c>
      <c r="G13" s="498">
        <v>190</v>
      </c>
      <c r="H13" s="219" t="s">
        <v>87</v>
      </c>
      <c r="I13" s="84" t="s">
        <v>385</v>
      </c>
      <c r="J13" s="99"/>
    </row>
    <row r="14" spans="1:10">
      <c r="A14" s="75" t="s">
        <v>387</v>
      </c>
      <c r="B14" s="80">
        <v>2997.35</v>
      </c>
      <c r="C14" s="527">
        <v>2151</v>
      </c>
      <c r="D14" s="555">
        <v>1507</v>
      </c>
      <c r="E14" s="474"/>
      <c r="F14" s="443">
        <v>1100</v>
      </c>
      <c r="G14" s="498">
        <f>2500</f>
        <v>2500</v>
      </c>
      <c r="H14" s="219" t="s">
        <v>87</v>
      </c>
      <c r="I14" s="84" t="s">
        <v>388</v>
      </c>
      <c r="J14" s="99"/>
    </row>
    <row r="15" spans="1:10">
      <c r="A15" s="75" t="s">
        <v>5</v>
      </c>
      <c r="B15" s="80">
        <v>2955.15</v>
      </c>
      <c r="C15" s="527">
        <v>2364</v>
      </c>
      <c r="D15" s="555">
        <v>20</v>
      </c>
      <c r="E15" s="474"/>
      <c r="F15" s="443">
        <v>1500</v>
      </c>
      <c r="G15" s="498">
        <v>2000</v>
      </c>
      <c r="H15" s="219" t="s">
        <v>87</v>
      </c>
      <c r="I15" s="84"/>
      <c r="J15" s="99"/>
    </row>
    <row r="16" spans="1:10">
      <c r="A16" s="75" t="s">
        <v>386</v>
      </c>
      <c r="B16" s="80">
        <v>10207</v>
      </c>
      <c r="C16" s="527">
        <v>17293</v>
      </c>
      <c r="D16" s="555">
        <v>6063</v>
      </c>
      <c r="E16" s="474"/>
      <c r="F16" s="443">
        <v>13834</v>
      </c>
      <c r="G16" s="498">
        <v>16000</v>
      </c>
      <c r="H16" s="219" t="s">
        <v>87</v>
      </c>
      <c r="I16" s="84"/>
      <c r="J16" s="99"/>
    </row>
    <row r="17" spans="1:10">
      <c r="A17" s="75" t="s">
        <v>6</v>
      </c>
      <c r="B17" s="80">
        <v>1920</v>
      </c>
      <c r="C17" s="527">
        <v>2020</v>
      </c>
      <c r="D17" s="555">
        <v>640</v>
      </c>
      <c r="E17" s="474"/>
      <c r="F17" s="443">
        <v>2000</v>
      </c>
      <c r="G17" s="498">
        <f>160*12</f>
        <v>1920</v>
      </c>
      <c r="H17" s="219" t="s">
        <v>87</v>
      </c>
      <c r="I17" s="84" t="s">
        <v>431</v>
      </c>
      <c r="J17" s="99"/>
    </row>
    <row r="18" spans="1:10">
      <c r="A18" s="75" t="s">
        <v>7</v>
      </c>
      <c r="B18" s="80">
        <f>1279.72+276.57</f>
        <v>1556.29</v>
      </c>
      <c r="C18" s="527">
        <v>4130</v>
      </c>
      <c r="D18" s="555">
        <v>76</v>
      </c>
      <c r="E18" s="474"/>
      <c r="F18" s="443">
        <v>0</v>
      </c>
      <c r="G18" s="498">
        <v>0</v>
      </c>
      <c r="H18" s="219" t="s">
        <v>87</v>
      </c>
      <c r="I18" s="84"/>
      <c r="J18" s="99"/>
    </row>
    <row r="19" spans="1:10">
      <c r="A19" s="75" t="s">
        <v>8</v>
      </c>
      <c r="B19" s="80">
        <v>45461.11</v>
      </c>
      <c r="C19" s="527">
        <v>10120</v>
      </c>
      <c r="D19" s="555">
        <v>9066.16</v>
      </c>
      <c r="E19" s="474"/>
      <c r="F19" s="443">
        <v>5000</v>
      </c>
      <c r="G19" s="498">
        <v>9400</v>
      </c>
      <c r="H19" s="219" t="s">
        <v>87</v>
      </c>
      <c r="I19" s="84" t="s">
        <v>605</v>
      </c>
      <c r="J19" s="99"/>
    </row>
    <row r="20" spans="1:10" ht="16" thickBot="1">
      <c r="A20" s="86" t="s">
        <v>9</v>
      </c>
      <c r="B20" s="87">
        <v>196694.84</v>
      </c>
      <c r="C20" s="531">
        <v>256585</v>
      </c>
      <c r="D20" s="556">
        <v>0</v>
      </c>
      <c r="E20" s="476"/>
      <c r="F20" s="444">
        <v>200000</v>
      </c>
      <c r="G20" s="499">
        <v>381000</v>
      </c>
      <c r="H20" s="220" t="s">
        <v>87</v>
      </c>
      <c r="I20" s="185" t="s">
        <v>672</v>
      </c>
      <c r="J20" s="99"/>
    </row>
    <row r="21" spans="1:10" s="93" customFormat="1">
      <c r="A21" s="90" t="s">
        <v>10</v>
      </c>
      <c r="B21" s="91">
        <f>SUM(B7:B20)</f>
        <v>393824.74</v>
      </c>
      <c r="C21" s="91">
        <f>SUM(C7:C20)</f>
        <v>402884</v>
      </c>
      <c r="D21" s="91">
        <f>SUM(D7:D20)</f>
        <v>87828.27</v>
      </c>
      <c r="E21" s="475">
        <f>D21/F21</f>
        <v>0.29230490434921524</v>
      </c>
      <c r="F21" s="91">
        <f>SUM(F7:F20)</f>
        <v>300468</v>
      </c>
      <c r="G21" s="500">
        <f>SUM(G7:G20)</f>
        <v>531694</v>
      </c>
      <c r="H21" s="221"/>
      <c r="I21" s="92"/>
      <c r="J21" s="547"/>
    </row>
    <row r="22" spans="1:10">
      <c r="A22" s="75" t="s">
        <v>11</v>
      </c>
      <c r="B22" s="94"/>
      <c r="C22" s="460"/>
      <c r="D22" s="557"/>
      <c r="E22" s="81"/>
      <c r="F22" s="445"/>
      <c r="G22" s="501"/>
      <c r="H22" s="222"/>
      <c r="I22" s="84"/>
      <c r="J22" s="99"/>
    </row>
    <row r="23" spans="1:10">
      <c r="A23" s="95" t="s">
        <v>153</v>
      </c>
      <c r="B23" s="96">
        <v>100754</v>
      </c>
      <c r="C23" s="532">
        <v>8498</v>
      </c>
      <c r="D23" s="558">
        <v>0</v>
      </c>
      <c r="E23" s="97"/>
      <c r="F23" s="446">
        <v>100000</v>
      </c>
      <c r="G23" s="502">
        <v>50000</v>
      </c>
      <c r="H23" s="223" t="s">
        <v>87</v>
      </c>
      <c r="I23" s="186" t="s">
        <v>474</v>
      </c>
      <c r="J23" s="99"/>
    </row>
    <row r="24" spans="1:10">
      <c r="A24" s="98" t="s">
        <v>660</v>
      </c>
      <c r="B24" s="80">
        <v>0</v>
      </c>
      <c r="C24" s="527">
        <v>97178</v>
      </c>
      <c r="D24" s="555">
        <v>29089.919999999998</v>
      </c>
      <c r="E24" s="81"/>
      <c r="F24" s="443">
        <v>90000</v>
      </c>
      <c r="G24" s="498">
        <f>9697*10</f>
        <v>96970</v>
      </c>
      <c r="H24" s="219" t="s">
        <v>87</v>
      </c>
      <c r="I24" s="84"/>
      <c r="J24" s="99"/>
    </row>
    <row r="25" spans="1:10" s="99" customFormat="1">
      <c r="A25" s="75" t="s">
        <v>451</v>
      </c>
      <c r="B25" s="80">
        <v>10749.6</v>
      </c>
      <c r="C25" s="527">
        <v>7897</v>
      </c>
      <c r="D25" s="555">
        <v>0</v>
      </c>
      <c r="E25" s="81"/>
      <c r="F25" s="443">
        <v>7800</v>
      </c>
      <c r="G25" s="498">
        <v>7800</v>
      </c>
      <c r="H25" s="219" t="s">
        <v>87</v>
      </c>
      <c r="I25" s="84" t="s">
        <v>674</v>
      </c>
    </row>
    <row r="26" spans="1:10">
      <c r="A26" s="75" t="s">
        <v>12</v>
      </c>
      <c r="B26" s="80">
        <v>140229.57</v>
      </c>
      <c r="C26" s="527">
        <v>156897</v>
      </c>
      <c r="D26" s="555">
        <v>51829.78</v>
      </c>
      <c r="E26" s="81"/>
      <c r="F26" s="443">
        <v>156000</v>
      </c>
      <c r="G26" s="498">
        <f>12955+(12962*11)</f>
        <v>155537</v>
      </c>
      <c r="H26" s="219" t="s">
        <v>87</v>
      </c>
      <c r="I26" s="84" t="s">
        <v>391</v>
      </c>
      <c r="J26" s="99"/>
    </row>
    <row r="27" spans="1:10">
      <c r="A27" s="75" t="s">
        <v>13</v>
      </c>
      <c r="B27" s="80">
        <v>335.82</v>
      </c>
      <c r="C27" s="527">
        <v>750</v>
      </c>
      <c r="D27" s="555">
        <v>433.41</v>
      </c>
      <c r="E27" s="81"/>
      <c r="F27" s="443">
        <v>350</v>
      </c>
      <c r="G27" s="498">
        <v>433</v>
      </c>
      <c r="H27" s="219" t="s">
        <v>87</v>
      </c>
      <c r="I27" s="84" t="s">
        <v>673</v>
      </c>
      <c r="J27" s="99"/>
    </row>
    <row r="28" spans="1:10">
      <c r="A28" s="75" t="s">
        <v>454</v>
      </c>
      <c r="B28" s="80">
        <v>318.14</v>
      </c>
      <c r="C28" s="527">
        <v>0</v>
      </c>
      <c r="D28" s="555">
        <v>0</v>
      </c>
      <c r="E28" s="81"/>
      <c r="F28" s="443">
        <v>0</v>
      </c>
      <c r="G28" s="498">
        <v>0</v>
      </c>
      <c r="H28" s="219" t="s">
        <v>87</v>
      </c>
      <c r="I28" s="84"/>
      <c r="J28" s="99"/>
    </row>
    <row r="29" spans="1:10">
      <c r="A29" s="75" t="s">
        <v>661</v>
      </c>
      <c r="B29" s="80">
        <v>1965.19</v>
      </c>
      <c r="C29" s="527">
        <v>2070</v>
      </c>
      <c r="D29" s="555">
        <v>0</v>
      </c>
      <c r="E29" s="81"/>
      <c r="F29" s="443">
        <v>1500</v>
      </c>
      <c r="G29" s="498">
        <v>0</v>
      </c>
      <c r="H29" s="219" t="s">
        <v>87</v>
      </c>
      <c r="I29" s="84"/>
      <c r="J29" s="99"/>
    </row>
    <row r="30" spans="1:10" s="99" customFormat="1">
      <c r="A30" s="98" t="s">
        <v>603</v>
      </c>
      <c r="B30" s="455">
        <v>0</v>
      </c>
      <c r="C30" s="533">
        <v>147358</v>
      </c>
      <c r="D30" s="555">
        <v>132172.74</v>
      </c>
      <c r="E30" s="471"/>
      <c r="F30" s="456">
        <v>0</v>
      </c>
      <c r="G30" s="498">
        <v>132173</v>
      </c>
      <c r="H30" s="219" t="s">
        <v>604</v>
      </c>
      <c r="I30" s="84" t="s">
        <v>606</v>
      </c>
    </row>
    <row r="31" spans="1:10" ht="16" thickBot="1">
      <c r="A31" s="86" t="s">
        <v>662</v>
      </c>
      <c r="B31" s="87">
        <v>0</v>
      </c>
      <c r="C31" s="531">
        <v>310</v>
      </c>
      <c r="D31" s="556">
        <v>0</v>
      </c>
      <c r="E31" s="88"/>
      <c r="F31" s="444">
        <v>300</v>
      </c>
      <c r="G31" s="499">
        <v>300</v>
      </c>
      <c r="H31" s="220" t="s">
        <v>87</v>
      </c>
      <c r="I31" s="89"/>
      <c r="J31" s="99"/>
    </row>
    <row r="32" spans="1:10" s="93" customFormat="1">
      <c r="A32" s="90" t="s">
        <v>14</v>
      </c>
      <c r="B32" s="91">
        <f>SUM(B23:B31)</f>
        <v>254352.32000000004</v>
      </c>
      <c r="C32" s="91">
        <f>SUM(C23:C31)</f>
        <v>420958</v>
      </c>
      <c r="D32" s="91">
        <f>SUM(D23:D31)</f>
        <v>213525.84999999998</v>
      </c>
      <c r="E32" s="475">
        <f>D32/F32</f>
        <v>0.59987596572552315</v>
      </c>
      <c r="F32" s="91">
        <f>SUM(F23:F31)</f>
        <v>355950</v>
      </c>
      <c r="G32" s="500">
        <f>SUM(G23:G31)</f>
        <v>443213</v>
      </c>
      <c r="H32" s="221"/>
      <c r="I32" s="92"/>
      <c r="J32" s="547"/>
    </row>
    <row r="33" spans="1:11">
      <c r="A33" s="75" t="s">
        <v>15</v>
      </c>
      <c r="B33" s="94"/>
      <c r="C33" s="460"/>
      <c r="D33" s="555"/>
      <c r="E33" s="81"/>
      <c r="F33" s="445"/>
      <c r="G33" s="501"/>
      <c r="H33" s="222"/>
      <c r="I33" s="84"/>
      <c r="J33" s="99"/>
    </row>
    <row r="34" spans="1:11" s="101" customFormat="1">
      <c r="A34" s="100" t="s">
        <v>403</v>
      </c>
      <c r="B34" s="80">
        <v>13508</v>
      </c>
      <c r="C34" s="527">
        <v>6127</v>
      </c>
      <c r="D34" s="555">
        <v>0</v>
      </c>
      <c r="E34" s="81"/>
      <c r="F34" s="445">
        <v>0</v>
      </c>
      <c r="G34" s="501">
        <v>0</v>
      </c>
      <c r="H34" s="219" t="s">
        <v>87</v>
      </c>
      <c r="I34" s="84"/>
      <c r="J34" s="99"/>
    </row>
    <row r="35" spans="1:11" s="99" customFormat="1">
      <c r="A35" s="100" t="s">
        <v>532</v>
      </c>
      <c r="B35" s="80">
        <v>0</v>
      </c>
      <c r="C35" s="527">
        <v>90718</v>
      </c>
      <c r="D35" s="559">
        <v>15117.02</v>
      </c>
      <c r="E35" s="102"/>
      <c r="F35" s="445">
        <v>90000</v>
      </c>
      <c r="G35" s="501">
        <v>65350.29</v>
      </c>
      <c r="H35" s="219" t="s">
        <v>87</v>
      </c>
      <c r="I35" s="84" t="s">
        <v>606</v>
      </c>
    </row>
    <row r="36" spans="1:11" s="101" customFormat="1">
      <c r="A36" s="100" t="s">
        <v>663</v>
      </c>
      <c r="B36" s="80">
        <v>8911.91</v>
      </c>
      <c r="C36" s="527">
        <v>11491</v>
      </c>
      <c r="D36" s="555">
        <v>0</v>
      </c>
      <c r="E36" s="81"/>
      <c r="F36" s="445">
        <v>8000</v>
      </c>
      <c r="G36" s="501">
        <v>8000</v>
      </c>
      <c r="H36" s="219" t="s">
        <v>87</v>
      </c>
      <c r="I36" s="84"/>
      <c r="J36" s="99"/>
    </row>
    <row r="37" spans="1:11" s="101" customFormat="1" ht="16" thickBot="1">
      <c r="A37" s="103" t="s">
        <v>453</v>
      </c>
      <c r="B37" s="87">
        <v>117688</v>
      </c>
      <c r="C37" s="531">
        <v>0</v>
      </c>
      <c r="D37" s="556">
        <v>0</v>
      </c>
      <c r="E37" s="88"/>
      <c r="F37" s="447">
        <v>0</v>
      </c>
      <c r="G37" s="503">
        <v>0</v>
      </c>
      <c r="H37" s="220" t="s">
        <v>87</v>
      </c>
      <c r="I37" s="89"/>
      <c r="J37" s="99"/>
    </row>
    <row r="38" spans="1:11" s="64" customFormat="1">
      <c r="A38" s="104" t="s">
        <v>16</v>
      </c>
      <c r="B38" s="105">
        <f>SUM(B34:B37)</f>
        <v>140107.91</v>
      </c>
      <c r="C38" s="105">
        <f>SUM(C34:C37)</f>
        <v>108336</v>
      </c>
      <c r="D38" s="105">
        <f>SUM(D34:D37)</f>
        <v>15117.02</v>
      </c>
      <c r="E38" s="475">
        <f>D38/F38</f>
        <v>0.15425530612244898</v>
      </c>
      <c r="F38" s="105">
        <f>SUM(F34:F37)</f>
        <v>98000</v>
      </c>
      <c r="G38" s="504">
        <f>SUM(G34:G37)</f>
        <v>73350.290000000008</v>
      </c>
      <c r="H38" s="224"/>
      <c r="I38" s="106"/>
      <c r="J38" s="63"/>
    </row>
    <row r="39" spans="1:11">
      <c r="A39" s="75" t="s">
        <v>17</v>
      </c>
      <c r="B39" s="94"/>
      <c r="C39" s="460"/>
      <c r="D39" s="555"/>
      <c r="E39" s="81"/>
      <c r="F39" s="445"/>
      <c r="G39" s="501"/>
      <c r="H39" s="222"/>
      <c r="I39" s="84"/>
      <c r="J39" s="99"/>
    </row>
    <row r="40" spans="1:11" ht="16" thickBot="1">
      <c r="A40" s="86" t="s">
        <v>18</v>
      </c>
      <c r="B40" s="87">
        <v>3657198.62</v>
      </c>
      <c r="C40" s="531">
        <v>4101752</v>
      </c>
      <c r="D40" s="556">
        <v>1076040</v>
      </c>
      <c r="E40" s="88"/>
      <c r="F40" s="88">
        <v>4306840</v>
      </c>
      <c r="G40" s="505">
        <f>G2*G3</f>
        <v>4392852</v>
      </c>
      <c r="H40" s="220" t="s">
        <v>87</v>
      </c>
      <c r="I40" s="89"/>
      <c r="J40" s="99"/>
    </row>
    <row r="41" spans="1:11" s="64" customFormat="1" ht="16" thickBot="1">
      <c r="A41" s="187" t="s">
        <v>19</v>
      </c>
      <c r="B41" s="188">
        <f>SUM(B40)</f>
        <v>3657198.62</v>
      </c>
      <c r="C41" s="188">
        <f t="shared" ref="C41:G41" si="0">SUM(C40)</f>
        <v>4101752</v>
      </c>
      <c r="D41" s="188">
        <f t="shared" si="0"/>
        <v>1076040</v>
      </c>
      <c r="E41" s="477">
        <f>Table132[[#This Row],[FY25 Actuals through 9/30/24]]/Table132[[#This Row],[FY25 Adopted]]</f>
        <v>0.24984443350577221</v>
      </c>
      <c r="F41" s="188">
        <f t="shared" si="0"/>
        <v>4306840</v>
      </c>
      <c r="G41" s="506">
        <f t="shared" si="0"/>
        <v>4392852</v>
      </c>
      <c r="H41" s="225"/>
      <c r="I41" s="107"/>
      <c r="J41" s="63"/>
    </row>
    <row r="42" spans="1:11" s="64" customFormat="1" ht="17" thickBot="1">
      <c r="A42" s="108" t="s">
        <v>20</v>
      </c>
      <c r="B42" s="109">
        <f>B21+B32+B38+B41</f>
        <v>4445483.59</v>
      </c>
      <c r="C42" s="109">
        <f t="shared" ref="C42:D42" si="1">C21+C32+C38+C41</f>
        <v>5033930</v>
      </c>
      <c r="D42" s="109">
        <f t="shared" si="1"/>
        <v>1392511.1400000001</v>
      </c>
      <c r="E42" s="478">
        <f>D42/F42</f>
        <v>0.27513142779917565</v>
      </c>
      <c r="F42" s="109">
        <f>F21+F32+F38+F41</f>
        <v>5061258</v>
      </c>
      <c r="G42" s="507">
        <f>G21+G32+G38+G41</f>
        <v>5441109.29</v>
      </c>
      <c r="H42" s="226"/>
      <c r="I42" s="189">
        <f>Table132[[#This Row],[FY25 Actuals through 9/30/24]]+D215</f>
        <v>1442943.7200000002</v>
      </c>
      <c r="J42" s="63"/>
      <c r="K42" s="465">
        <f>Table132[[#This Row],[FY25 Adopted]]+F215</f>
        <v>5363853</v>
      </c>
    </row>
    <row r="43" spans="1:11">
      <c r="A43" s="75"/>
      <c r="B43" s="94"/>
      <c r="C43" s="460"/>
      <c r="D43" s="560"/>
      <c r="E43" s="110"/>
      <c r="F43" s="445"/>
      <c r="G43" s="501"/>
      <c r="H43" s="222"/>
      <c r="I43" s="84"/>
      <c r="J43" s="99"/>
    </row>
    <row r="44" spans="1:11">
      <c r="A44" s="203" t="s">
        <v>21</v>
      </c>
      <c r="B44" s="94"/>
      <c r="C44" s="460"/>
      <c r="D44" s="560"/>
      <c r="E44" s="110"/>
      <c r="F44" s="445"/>
      <c r="G44" s="501"/>
      <c r="H44" s="222"/>
      <c r="I44" s="84"/>
      <c r="J44" s="99"/>
    </row>
    <row r="45" spans="1:11">
      <c r="A45" s="111" t="s">
        <v>139</v>
      </c>
      <c r="B45" s="94"/>
      <c r="C45" s="460"/>
      <c r="D45" s="560"/>
      <c r="E45" s="110"/>
      <c r="F45" s="445"/>
      <c r="G45" s="501"/>
      <c r="H45" s="222"/>
      <c r="I45" s="84"/>
      <c r="J45" s="99"/>
    </row>
    <row r="46" spans="1:11" s="117" customFormat="1" hidden="1">
      <c r="A46" s="247" t="s">
        <v>592</v>
      </c>
      <c r="B46" s="113">
        <v>272632.27</v>
      </c>
      <c r="C46" s="112">
        <v>310139</v>
      </c>
      <c r="D46" s="561">
        <v>54252</v>
      </c>
      <c r="E46" s="114"/>
      <c r="F46" s="445">
        <v>320513</v>
      </c>
      <c r="G46" s="501">
        <f>'FY25 PPSEL Salary &amp; Benefits'!M87</f>
        <v>325512</v>
      </c>
      <c r="H46" s="259" t="s">
        <v>107</v>
      </c>
      <c r="I46" s="116"/>
      <c r="J46" s="120"/>
    </row>
    <row r="47" spans="1:11" s="117" customFormat="1" hidden="1">
      <c r="A47" s="265" t="s">
        <v>593</v>
      </c>
      <c r="B47" s="118">
        <v>0</v>
      </c>
      <c r="C47" s="534">
        <v>0</v>
      </c>
      <c r="D47" s="562">
        <v>0</v>
      </c>
      <c r="E47" s="119"/>
      <c r="F47" s="448">
        <v>0</v>
      </c>
      <c r="G47" s="508">
        <v>0</v>
      </c>
      <c r="H47" s="228" t="s">
        <v>88</v>
      </c>
      <c r="I47" s="190"/>
      <c r="J47" s="120"/>
    </row>
    <row r="48" spans="1:11" s="117" customFormat="1" hidden="1">
      <c r="A48" s="265" t="s">
        <v>594</v>
      </c>
      <c r="B48" s="118">
        <v>1101785.47</v>
      </c>
      <c r="C48" s="534">
        <v>1308406</v>
      </c>
      <c r="D48" s="562">
        <v>244682.17</v>
      </c>
      <c r="E48" s="119"/>
      <c r="F48" s="448">
        <v>1337885</v>
      </c>
      <c r="G48" s="508">
        <f>'FY25 PPSEL Salary &amp; Benefits'!M75+'FY25 PPSEL Salary &amp; Benefits'!M76+'FY25 PPSEL Salary &amp; Benefits'!M74+'FY25 PPSEL Salary &amp; Benefits'!M84</f>
        <v>1450506.8</v>
      </c>
      <c r="H48" s="228" t="s">
        <v>97</v>
      </c>
      <c r="I48" s="190" t="s">
        <v>542</v>
      </c>
      <c r="J48" s="120"/>
    </row>
    <row r="49" spans="1:11" s="117" customFormat="1" hidden="1">
      <c r="A49" s="265" t="s">
        <v>595</v>
      </c>
      <c r="B49" s="118">
        <v>0</v>
      </c>
      <c r="C49" s="534">
        <v>0</v>
      </c>
      <c r="D49" s="562">
        <v>0</v>
      </c>
      <c r="E49" s="119"/>
      <c r="F49" s="448">
        <v>0</v>
      </c>
      <c r="G49" s="508">
        <v>0</v>
      </c>
      <c r="H49" s="228" t="s">
        <v>123</v>
      </c>
      <c r="I49" s="190"/>
      <c r="J49" s="120"/>
    </row>
    <row r="50" spans="1:11" s="117" customFormat="1" hidden="1">
      <c r="A50" s="265" t="s">
        <v>596</v>
      </c>
      <c r="B50" s="118">
        <v>0</v>
      </c>
      <c r="C50" s="534">
        <v>0</v>
      </c>
      <c r="D50" s="562">
        <v>0</v>
      </c>
      <c r="E50" s="119"/>
      <c r="F50" s="448">
        <v>0</v>
      </c>
      <c r="G50" s="508">
        <v>0</v>
      </c>
      <c r="H50" s="228" t="s">
        <v>102</v>
      </c>
      <c r="I50" s="190"/>
      <c r="J50" s="120"/>
    </row>
    <row r="51" spans="1:11" s="120" customFormat="1" hidden="1">
      <c r="A51" s="247" t="s">
        <v>463</v>
      </c>
      <c r="B51" s="113">
        <v>0</v>
      </c>
      <c r="C51" s="112">
        <v>74901</v>
      </c>
      <c r="D51" s="561">
        <v>16254.51</v>
      </c>
      <c r="E51" s="114"/>
      <c r="F51" s="445">
        <v>149436</v>
      </c>
      <c r="G51" s="501">
        <f>'FY25 PPSEL Salary &amp; Benefits'!M80</f>
        <v>240531.27</v>
      </c>
      <c r="H51" s="227" t="s">
        <v>461</v>
      </c>
      <c r="I51" s="116"/>
    </row>
    <row r="52" spans="1:11" s="117" customFormat="1" hidden="1">
      <c r="A52" s="247" t="s">
        <v>597</v>
      </c>
      <c r="B52" s="113">
        <v>238419.04</v>
      </c>
      <c r="C52" s="112">
        <v>241176</v>
      </c>
      <c r="D52" s="561">
        <v>37316.160000000003</v>
      </c>
      <c r="E52" s="114"/>
      <c r="F52" s="445">
        <v>224468</v>
      </c>
      <c r="G52" s="501">
        <f>'FY25 PPSEL Salary &amp; Benefits'!M79</f>
        <v>223897</v>
      </c>
      <c r="H52" s="227" t="s">
        <v>124</v>
      </c>
      <c r="I52" s="116"/>
      <c r="J52" s="120"/>
    </row>
    <row r="53" spans="1:11" s="132" customFormat="1" hidden="1">
      <c r="A53" s="248" t="s">
        <v>549</v>
      </c>
      <c r="B53" s="213">
        <v>0</v>
      </c>
      <c r="C53" s="112">
        <v>0</v>
      </c>
      <c r="D53" s="561">
        <v>13102.32</v>
      </c>
      <c r="E53" s="114"/>
      <c r="F53" s="445">
        <v>0</v>
      </c>
      <c r="G53" s="501">
        <f>'FY25 PPSEL Salary &amp; Benefits'!M81</f>
        <v>100838</v>
      </c>
      <c r="H53" s="257">
        <v>2130</v>
      </c>
      <c r="I53" s="84" t="s">
        <v>675</v>
      </c>
      <c r="J53" s="120"/>
    </row>
    <row r="54" spans="1:11" s="132" customFormat="1" hidden="1">
      <c r="A54" s="248" t="s">
        <v>548</v>
      </c>
      <c r="B54" s="213">
        <v>0</v>
      </c>
      <c r="C54" s="112">
        <v>6162</v>
      </c>
      <c r="D54" s="561">
        <v>5961.66</v>
      </c>
      <c r="E54" s="114"/>
      <c r="F54" s="445">
        <v>28440</v>
      </c>
      <c r="G54" s="501">
        <f>'FY25 PPSEL Salary &amp; Benefits'!M83</f>
        <v>35770</v>
      </c>
      <c r="H54" s="257">
        <v>2140</v>
      </c>
      <c r="I54" s="129"/>
      <c r="J54" s="120"/>
    </row>
    <row r="55" spans="1:11" s="132" customFormat="1" hidden="1">
      <c r="A55" s="249" t="s">
        <v>466</v>
      </c>
      <c r="B55" s="213">
        <v>0</v>
      </c>
      <c r="C55" s="112">
        <v>36494</v>
      </c>
      <c r="D55" s="561">
        <v>8990.59</v>
      </c>
      <c r="E55" s="114"/>
      <c r="F55" s="445">
        <v>80686</v>
      </c>
      <c r="G55" s="501">
        <f>'FY25 PPSEL Salary &amp; Benefits'!M82</f>
        <v>70517</v>
      </c>
      <c r="H55" s="258">
        <v>2150</v>
      </c>
      <c r="I55" s="116" t="s">
        <v>550</v>
      </c>
      <c r="J55" s="120"/>
    </row>
    <row r="56" spans="1:11" s="117" customFormat="1" hidden="1">
      <c r="A56" s="247" t="s">
        <v>598</v>
      </c>
      <c r="B56" s="113">
        <v>8044.47</v>
      </c>
      <c r="C56" s="112">
        <v>15865</v>
      </c>
      <c r="D56" s="561">
        <v>3279.01</v>
      </c>
      <c r="E56" s="114"/>
      <c r="F56" s="445">
        <v>17195</v>
      </c>
      <c r="G56" s="501">
        <f>'FY25 PPSEL Salary &amp; Benefits'!M90</f>
        <v>9000</v>
      </c>
      <c r="H56" s="227" t="s">
        <v>218</v>
      </c>
      <c r="I56" s="116"/>
      <c r="J56" s="120"/>
    </row>
    <row r="57" spans="1:11" s="117" customFormat="1" hidden="1">
      <c r="A57" s="247" t="s">
        <v>599</v>
      </c>
      <c r="B57" s="113">
        <v>23171.94</v>
      </c>
      <c r="C57" s="112">
        <v>24481</v>
      </c>
      <c r="D57" s="561">
        <v>3788.81</v>
      </c>
      <c r="E57" s="114"/>
      <c r="F57" s="445">
        <v>25601</v>
      </c>
      <c r="G57" s="501">
        <f>'FY25 PPSEL Salary &amp; Benefits'!M91</f>
        <v>25000</v>
      </c>
      <c r="H57" s="227" t="s">
        <v>124</v>
      </c>
      <c r="I57" s="116"/>
      <c r="J57" s="120"/>
    </row>
    <row r="58" spans="1:11" s="117" customFormat="1" hidden="1">
      <c r="A58" s="247" t="s">
        <v>600</v>
      </c>
      <c r="B58" s="113">
        <v>40597</v>
      </c>
      <c r="C58" s="112">
        <v>69366</v>
      </c>
      <c r="D58" s="561">
        <v>23053.67</v>
      </c>
      <c r="E58" s="114"/>
      <c r="F58" s="445">
        <v>67151</v>
      </c>
      <c r="G58" s="501">
        <f>'FY25 PPSEL Salary &amp; Benefits'!M77</f>
        <v>33072.94</v>
      </c>
      <c r="H58" s="227" t="s">
        <v>124</v>
      </c>
      <c r="I58" s="116"/>
      <c r="J58" s="120"/>
    </row>
    <row r="59" spans="1:11" s="117" customFormat="1" hidden="1">
      <c r="A59" s="247" t="s">
        <v>601</v>
      </c>
      <c r="B59" s="113">
        <v>0</v>
      </c>
      <c r="C59" s="112">
        <v>58252</v>
      </c>
      <c r="D59" s="561">
        <v>18358.46</v>
      </c>
      <c r="E59" s="114"/>
      <c r="F59" s="445">
        <v>67270</v>
      </c>
      <c r="G59" s="501">
        <f>'FY25 PPSEL Salary &amp; Benefits'!M78</f>
        <v>65102.18</v>
      </c>
      <c r="H59" s="219">
        <v>1700</v>
      </c>
      <c r="I59" s="116" t="s">
        <v>617</v>
      </c>
      <c r="J59" s="120"/>
    </row>
    <row r="60" spans="1:11" s="117" customFormat="1" hidden="1">
      <c r="A60" s="247" t="s">
        <v>613</v>
      </c>
      <c r="B60" s="113">
        <v>69310.350000000006</v>
      </c>
      <c r="C60" s="112">
        <v>79109</v>
      </c>
      <c r="D60" s="561">
        <v>13650.02</v>
      </c>
      <c r="E60" s="114"/>
      <c r="F60" s="445">
        <v>80850</v>
      </c>
      <c r="G60" s="501">
        <f>'FY25 PPSEL Salary &amp; Benefits'!M88</f>
        <v>81900</v>
      </c>
      <c r="H60" s="259" t="s">
        <v>554</v>
      </c>
      <c r="I60" s="116"/>
      <c r="J60" s="120"/>
    </row>
    <row r="61" spans="1:11" s="117" customFormat="1" ht="16" hidden="1" thickBot="1">
      <c r="A61" s="264" t="s">
        <v>602</v>
      </c>
      <c r="B61" s="121">
        <v>27775.040000000001</v>
      </c>
      <c r="C61" s="535">
        <v>29685</v>
      </c>
      <c r="D61" s="563">
        <v>5251.03</v>
      </c>
      <c r="E61" s="122"/>
      <c r="F61" s="447">
        <v>30765</v>
      </c>
      <c r="G61" s="503">
        <f>'FY25 PPSEL Salary &amp; Benefits'!M89</f>
        <v>30765</v>
      </c>
      <c r="H61" s="261" t="s">
        <v>116</v>
      </c>
      <c r="I61" s="124"/>
      <c r="J61" s="120"/>
    </row>
    <row r="62" spans="1:11" s="64" customFormat="1">
      <c r="A62" s="104" t="s">
        <v>138</v>
      </c>
      <c r="B62" s="105">
        <f>SUM(B46:B61)</f>
        <v>1781735.58</v>
      </c>
      <c r="C62" s="105">
        <f t="shared" ref="C62:G62" si="2">SUM(C46:C61)</f>
        <v>2254036</v>
      </c>
      <c r="D62" s="105">
        <f>SUM(D46:D61)</f>
        <v>447940.41000000015</v>
      </c>
      <c r="E62" s="480">
        <f>D62/F62</f>
        <v>0.18431789602758558</v>
      </c>
      <c r="F62" s="105">
        <f t="shared" si="2"/>
        <v>2430260</v>
      </c>
      <c r="G62" s="504">
        <f t="shared" si="2"/>
        <v>2692412.1900000004</v>
      </c>
      <c r="H62" s="481"/>
      <c r="I62" s="106">
        <f>Table132[[#This Row],[FY25 Actuals through 9/30/24]]+SUM(D112:D123)</f>
        <v>671690.41000000015</v>
      </c>
      <c r="J62" s="63"/>
      <c r="K62" s="465">
        <f>Table132[[#This Row],[FY25 Adopted]]+F124</f>
        <v>3512914</v>
      </c>
    </row>
    <row r="63" spans="1:11">
      <c r="A63" s="111" t="s">
        <v>137</v>
      </c>
      <c r="B63" s="94"/>
      <c r="C63" s="460"/>
      <c r="D63" s="560"/>
      <c r="E63" s="110"/>
      <c r="F63" s="445"/>
      <c r="G63" s="501"/>
      <c r="H63" s="222"/>
      <c r="I63" s="84"/>
      <c r="J63" s="99"/>
    </row>
    <row r="64" spans="1:11" hidden="1">
      <c r="A64" s="250" t="s">
        <v>413</v>
      </c>
      <c r="B64" s="113">
        <v>1394.02</v>
      </c>
      <c r="C64" s="112">
        <v>1366</v>
      </c>
      <c r="D64" s="561">
        <v>261.14999999999998</v>
      </c>
      <c r="E64" s="114"/>
      <c r="F64" s="445">
        <v>1500</v>
      </c>
      <c r="G64" s="501">
        <f>1500</f>
        <v>1500</v>
      </c>
      <c r="H64" s="259" t="s">
        <v>107</v>
      </c>
      <c r="I64" s="116"/>
      <c r="J64" s="99"/>
    </row>
    <row r="65" spans="1:10" hidden="1">
      <c r="A65" s="250" t="s">
        <v>467</v>
      </c>
      <c r="B65" s="113">
        <v>6778.09</v>
      </c>
      <c r="C65" s="112">
        <v>7333</v>
      </c>
      <c r="D65" s="561">
        <v>1649.12</v>
      </c>
      <c r="E65" s="114"/>
      <c r="F65" s="445">
        <v>7500</v>
      </c>
      <c r="G65" s="501">
        <f>7500</f>
        <v>7500</v>
      </c>
      <c r="H65" s="227" t="s">
        <v>124</v>
      </c>
      <c r="I65" s="116"/>
      <c r="J65" s="99"/>
    </row>
    <row r="66" spans="1:10" s="99" customFormat="1" hidden="1">
      <c r="A66" s="250" t="s">
        <v>469</v>
      </c>
      <c r="B66" s="113">
        <v>0</v>
      </c>
      <c r="C66" s="112">
        <v>523</v>
      </c>
      <c r="D66" s="561">
        <v>136.49</v>
      </c>
      <c r="E66" s="114"/>
      <c r="F66" s="445">
        <v>550</v>
      </c>
      <c r="G66" s="501">
        <f>550</f>
        <v>550</v>
      </c>
      <c r="H66" s="227" t="s">
        <v>461</v>
      </c>
      <c r="I66" s="116"/>
    </row>
    <row r="67" spans="1:10" hidden="1">
      <c r="A67" s="250" t="s">
        <v>591</v>
      </c>
      <c r="B67" s="113">
        <v>1048.04</v>
      </c>
      <c r="C67" s="112">
        <v>1260</v>
      </c>
      <c r="D67" s="561">
        <v>229.89</v>
      </c>
      <c r="E67" s="114"/>
      <c r="F67" s="445">
        <v>1300</v>
      </c>
      <c r="G67" s="501">
        <f>1300</f>
        <v>1300</v>
      </c>
      <c r="H67" s="227" t="s">
        <v>124</v>
      </c>
      <c r="I67" s="116"/>
      <c r="J67" s="99"/>
    </row>
    <row r="68" spans="1:10" s="253" customFormat="1" hidden="1">
      <c r="A68" s="250" t="s">
        <v>551</v>
      </c>
      <c r="B68" s="113">
        <v>0</v>
      </c>
      <c r="C68" s="112">
        <v>0</v>
      </c>
      <c r="D68" s="561">
        <v>78.900000000000006</v>
      </c>
      <c r="E68" s="114"/>
      <c r="F68" s="445">
        <v>0</v>
      </c>
      <c r="G68" s="501">
        <f>'FY25 PPSEL Salary &amp; Benefits'!T81</f>
        <v>82.800000000000011</v>
      </c>
      <c r="H68" s="258">
        <v>2150</v>
      </c>
      <c r="I68" s="129"/>
      <c r="J68" s="63"/>
    </row>
    <row r="69" spans="1:10" s="253" customFormat="1" hidden="1">
      <c r="A69" s="250" t="s">
        <v>555</v>
      </c>
      <c r="B69" s="113">
        <v>0</v>
      </c>
      <c r="C69" s="112">
        <v>0</v>
      </c>
      <c r="D69" s="561">
        <v>0</v>
      </c>
      <c r="E69" s="472"/>
      <c r="F69" s="449">
        <v>0</v>
      </c>
      <c r="G69" s="501">
        <f>'FY25 PPSEL Salary &amp; Benefits'!T83</f>
        <v>0</v>
      </c>
      <c r="H69" s="257" t="s">
        <v>552</v>
      </c>
      <c r="I69" s="129"/>
      <c r="J69" s="63"/>
    </row>
    <row r="70" spans="1:10" s="253" customFormat="1" hidden="1">
      <c r="A70" s="250" t="s">
        <v>553</v>
      </c>
      <c r="B70" s="113">
        <v>0</v>
      </c>
      <c r="C70" s="112">
        <v>172</v>
      </c>
      <c r="D70" s="561">
        <v>74.28</v>
      </c>
      <c r="E70" s="472"/>
      <c r="F70" s="449">
        <v>200</v>
      </c>
      <c r="G70" s="501">
        <f>'FY25 PPSEL Salary &amp; Benefits'!T82</f>
        <v>43.2</v>
      </c>
      <c r="H70" s="257" t="s">
        <v>547</v>
      </c>
      <c r="I70" s="129"/>
      <c r="J70" s="63"/>
    </row>
    <row r="71" spans="1:10" hidden="1">
      <c r="A71" s="250" t="s">
        <v>414</v>
      </c>
      <c r="B71" s="113">
        <v>1278.48</v>
      </c>
      <c r="C71" s="112">
        <v>171</v>
      </c>
      <c r="D71" s="561">
        <v>132.99</v>
      </c>
      <c r="E71" s="114"/>
      <c r="F71" s="445">
        <v>150</v>
      </c>
      <c r="G71" s="501">
        <f>150</f>
        <v>150</v>
      </c>
      <c r="H71" s="227" t="s">
        <v>124</v>
      </c>
      <c r="I71" s="116"/>
      <c r="J71" s="99"/>
    </row>
    <row r="72" spans="1:10" hidden="1">
      <c r="A72" s="250" t="s">
        <v>534</v>
      </c>
      <c r="B72" s="113">
        <v>0</v>
      </c>
      <c r="C72" s="112">
        <v>322</v>
      </c>
      <c r="D72" s="561">
        <v>88.2</v>
      </c>
      <c r="E72" s="114"/>
      <c r="F72" s="445">
        <v>350</v>
      </c>
      <c r="G72" s="501">
        <f>350</f>
        <v>350</v>
      </c>
      <c r="H72" s="219">
        <v>1700</v>
      </c>
      <c r="I72" s="116"/>
      <c r="J72" s="99"/>
    </row>
    <row r="73" spans="1:10" hidden="1">
      <c r="A73" s="250" t="s">
        <v>612</v>
      </c>
      <c r="B73" s="113">
        <v>773.51</v>
      </c>
      <c r="C73" s="112">
        <v>526</v>
      </c>
      <c r="D73" s="561">
        <v>107.07</v>
      </c>
      <c r="E73" s="114"/>
      <c r="F73" s="445">
        <v>550</v>
      </c>
      <c r="G73" s="501">
        <f>550</f>
        <v>550</v>
      </c>
      <c r="H73" s="259" t="s">
        <v>107</v>
      </c>
      <c r="I73" s="116"/>
      <c r="J73" s="99"/>
    </row>
    <row r="74" spans="1:10" hidden="1">
      <c r="A74" s="251" t="s">
        <v>415</v>
      </c>
      <c r="B74" s="126">
        <v>310.81</v>
      </c>
      <c r="C74" s="536">
        <v>212</v>
      </c>
      <c r="D74" s="564">
        <v>43.65</v>
      </c>
      <c r="E74" s="127"/>
      <c r="F74" s="450">
        <v>225</v>
      </c>
      <c r="G74" s="509">
        <f>225</f>
        <v>225</v>
      </c>
      <c r="H74" s="230" t="s">
        <v>116</v>
      </c>
      <c r="I74" s="128"/>
      <c r="J74" s="99"/>
    </row>
    <row r="75" spans="1:10" hidden="1">
      <c r="A75" s="250" t="s">
        <v>412</v>
      </c>
      <c r="B75" s="113">
        <v>4184.84</v>
      </c>
      <c r="C75" s="112">
        <v>11005</v>
      </c>
      <c r="D75" s="561">
        <v>970.04</v>
      </c>
      <c r="E75" s="114"/>
      <c r="F75" s="445">
        <v>4872</v>
      </c>
      <c r="G75" s="501">
        <f>(G46+G112)*Table132[[#This Row],[Notes]]</f>
        <v>4937.424</v>
      </c>
      <c r="H75" s="227" t="s">
        <v>107</v>
      </c>
      <c r="I75" s="191">
        <v>1.4500000000000001E-2</v>
      </c>
      <c r="J75" s="99"/>
    </row>
    <row r="76" spans="1:10" hidden="1">
      <c r="A76" s="254" t="s">
        <v>411</v>
      </c>
      <c r="B76" s="113">
        <v>15265.97</v>
      </c>
      <c r="C76" s="112">
        <v>18695</v>
      </c>
      <c r="D76" s="561">
        <v>5162.7700000000004</v>
      </c>
      <c r="E76" s="114"/>
      <c r="F76" s="445">
        <v>21045</v>
      </c>
      <c r="G76" s="501">
        <f>(G48+G113)*I75</f>
        <v>22736.098600000001</v>
      </c>
      <c r="H76" s="227" t="s">
        <v>124</v>
      </c>
      <c r="I76" s="116"/>
      <c r="J76" s="99"/>
    </row>
    <row r="77" spans="1:10" s="130" customFormat="1" hidden="1">
      <c r="A77" s="250" t="s">
        <v>468</v>
      </c>
      <c r="B77" s="113">
        <v>0</v>
      </c>
      <c r="C77" s="112">
        <v>1212</v>
      </c>
      <c r="D77" s="561">
        <v>380.16</v>
      </c>
      <c r="E77" s="114"/>
      <c r="F77" s="445">
        <v>2399</v>
      </c>
      <c r="G77" s="501">
        <f>(G51+G114)*I75</f>
        <v>4234.4534150000009</v>
      </c>
      <c r="H77" s="227">
        <v>1700</v>
      </c>
      <c r="I77" s="129"/>
      <c r="J77" s="99"/>
    </row>
    <row r="78" spans="1:10" hidden="1">
      <c r="A78" s="252" t="s">
        <v>610</v>
      </c>
      <c r="B78" s="131">
        <v>3191.37</v>
      </c>
      <c r="C78" s="537">
        <v>3669</v>
      </c>
      <c r="D78" s="561">
        <v>755.65</v>
      </c>
      <c r="E78" s="114"/>
      <c r="F78" s="445">
        <v>3472</v>
      </c>
      <c r="G78" s="501">
        <f>(G52+G115)*I75</f>
        <v>3536.5065</v>
      </c>
      <c r="H78" s="227" t="s">
        <v>124</v>
      </c>
      <c r="I78" s="116"/>
      <c r="J78" s="99"/>
    </row>
    <row r="79" spans="1:10" s="130" customFormat="1" hidden="1">
      <c r="A79" s="262" t="s">
        <v>556</v>
      </c>
      <c r="B79" s="255">
        <v>0</v>
      </c>
      <c r="C79" s="537">
        <v>0</v>
      </c>
      <c r="D79" s="561">
        <v>262.48</v>
      </c>
      <c r="E79" s="472"/>
      <c r="F79" s="449">
        <v>0</v>
      </c>
      <c r="G79" s="501">
        <v>0</v>
      </c>
      <c r="H79" s="229" t="s">
        <v>219</v>
      </c>
      <c r="I79" s="129"/>
      <c r="J79" s="99"/>
    </row>
    <row r="80" spans="1:10" s="130" customFormat="1" hidden="1">
      <c r="A80" s="256" t="s">
        <v>535</v>
      </c>
      <c r="B80" s="255">
        <v>0</v>
      </c>
      <c r="C80" s="537">
        <v>159</v>
      </c>
      <c r="D80" s="561">
        <v>129.94</v>
      </c>
      <c r="E80" s="114"/>
      <c r="F80" s="445">
        <v>456</v>
      </c>
      <c r="G80" s="501">
        <f>(G54+3000)*I75</f>
        <v>562.16500000000008</v>
      </c>
      <c r="H80" s="257">
        <v>2140</v>
      </c>
      <c r="I80" s="129"/>
      <c r="J80" s="99"/>
    </row>
    <row r="81" spans="1:10" s="130" customFormat="1" hidden="1">
      <c r="A81" s="256" t="s">
        <v>499</v>
      </c>
      <c r="B81" s="255">
        <v>0</v>
      </c>
      <c r="C81" s="537">
        <v>529</v>
      </c>
      <c r="D81" s="561">
        <v>200.93</v>
      </c>
      <c r="E81" s="114"/>
      <c r="F81" s="445">
        <v>1206</v>
      </c>
      <c r="G81" s="501">
        <f>(G55+G118)*I75</f>
        <v>1044.2465</v>
      </c>
      <c r="H81" s="258">
        <v>2150</v>
      </c>
      <c r="I81" s="129"/>
      <c r="J81" s="99"/>
    </row>
    <row r="82" spans="1:10" hidden="1">
      <c r="A82" s="252" t="s">
        <v>404</v>
      </c>
      <c r="B82" s="131">
        <v>153.19</v>
      </c>
      <c r="C82" s="537">
        <v>332</v>
      </c>
      <c r="D82" s="561">
        <v>83.78</v>
      </c>
      <c r="E82" s="114"/>
      <c r="F82" s="445">
        <v>312</v>
      </c>
      <c r="G82" s="501">
        <f>(G56+G119)*I75</f>
        <v>166.75</v>
      </c>
      <c r="H82" s="227" t="s">
        <v>218</v>
      </c>
      <c r="I82" s="116"/>
      <c r="J82" s="99"/>
    </row>
    <row r="83" spans="1:10" hidden="1">
      <c r="A83" s="250" t="s">
        <v>410</v>
      </c>
      <c r="B83" s="113">
        <v>485.6</v>
      </c>
      <c r="C83" s="112">
        <v>541</v>
      </c>
      <c r="D83" s="561">
        <v>109.3</v>
      </c>
      <c r="E83" s="114"/>
      <c r="F83" s="445">
        <v>415</v>
      </c>
      <c r="G83" s="501">
        <f>(G57+G120)*I75</f>
        <v>435</v>
      </c>
      <c r="H83" s="227" t="s">
        <v>124</v>
      </c>
      <c r="I83" s="116"/>
      <c r="J83" s="99"/>
    </row>
    <row r="84" spans="1:10" hidden="1">
      <c r="A84" s="250" t="s">
        <v>405</v>
      </c>
      <c r="B84" s="113">
        <v>2269.08</v>
      </c>
      <c r="C84" s="112">
        <v>1217</v>
      </c>
      <c r="D84" s="561">
        <v>660.52</v>
      </c>
      <c r="E84" s="114"/>
      <c r="F84" s="445">
        <v>1235</v>
      </c>
      <c r="G84" s="501">
        <f>(G58+G121)*I75</f>
        <v>479.55763000000007</v>
      </c>
      <c r="H84" s="227" t="s">
        <v>124</v>
      </c>
      <c r="I84" s="116"/>
      <c r="J84" s="99"/>
    </row>
    <row r="85" spans="1:10" hidden="1">
      <c r="A85" s="250" t="s">
        <v>536</v>
      </c>
      <c r="B85" s="113">
        <v>0</v>
      </c>
      <c r="C85" s="112">
        <v>823</v>
      </c>
      <c r="D85" s="561">
        <v>483.71</v>
      </c>
      <c r="E85" s="114"/>
      <c r="F85" s="445">
        <v>975</v>
      </c>
      <c r="G85" s="501">
        <f>G59*I75</f>
        <v>943.98161000000005</v>
      </c>
      <c r="H85" s="219">
        <v>1700</v>
      </c>
      <c r="I85" s="116"/>
      <c r="J85" s="99"/>
    </row>
    <row r="86" spans="1:10" hidden="1">
      <c r="A86" s="250" t="s">
        <v>611</v>
      </c>
      <c r="B86" s="113">
        <v>1138.8599999999999</v>
      </c>
      <c r="C86" s="112">
        <v>1033</v>
      </c>
      <c r="D86" s="561">
        <v>342.92</v>
      </c>
      <c r="E86" s="114"/>
      <c r="F86" s="445">
        <v>1317</v>
      </c>
      <c r="G86" s="501">
        <f>(G60+G122)*I75</f>
        <v>1405.0500000000002</v>
      </c>
      <c r="H86" s="259" t="s">
        <v>107</v>
      </c>
      <c r="I86" s="116"/>
      <c r="J86" s="99"/>
    </row>
    <row r="87" spans="1:10" hidden="1">
      <c r="A87" s="251" t="s">
        <v>557</v>
      </c>
      <c r="B87" s="126">
        <v>434.51</v>
      </c>
      <c r="C87" s="536">
        <v>448</v>
      </c>
      <c r="D87" s="564">
        <v>104.95</v>
      </c>
      <c r="E87" s="127"/>
      <c r="F87" s="450">
        <v>482</v>
      </c>
      <c r="G87" s="509">
        <f>(G61+G123)*I75</f>
        <v>475.09250000000003</v>
      </c>
      <c r="H87" s="260" t="s">
        <v>116</v>
      </c>
      <c r="I87" s="128"/>
      <c r="J87" s="99"/>
    </row>
    <row r="88" spans="1:10" s="117" customFormat="1" hidden="1">
      <c r="A88" s="250" t="s">
        <v>649</v>
      </c>
      <c r="B88" s="113">
        <v>57632.36</v>
      </c>
      <c r="C88" s="112">
        <v>51326.239999999998</v>
      </c>
      <c r="D88" s="561">
        <v>11106.44</v>
      </c>
      <c r="E88" s="114"/>
      <c r="F88" s="445">
        <v>68590</v>
      </c>
      <c r="G88" s="501">
        <f>G46*Table132[[#This Row],[Notes]]</f>
        <v>69659.567999999999</v>
      </c>
      <c r="H88" s="227" t="s">
        <v>107</v>
      </c>
      <c r="I88" s="192">
        <v>0.214</v>
      </c>
      <c r="J88" s="120"/>
    </row>
    <row r="89" spans="1:10" s="117" customFormat="1" hidden="1">
      <c r="A89" s="250" t="s">
        <v>406</v>
      </c>
      <c r="B89" s="113">
        <v>217598.24</v>
      </c>
      <c r="C89" s="112">
        <v>276748.21000000002</v>
      </c>
      <c r="D89" s="561">
        <v>51899.49</v>
      </c>
      <c r="E89" s="114"/>
      <c r="F89" s="445">
        <v>286307</v>
      </c>
      <c r="G89" s="501">
        <f>G48*I88</f>
        <v>310408.45520000003</v>
      </c>
      <c r="H89" s="227" t="s">
        <v>124</v>
      </c>
      <c r="I89" s="116"/>
      <c r="J89" s="120"/>
    </row>
    <row r="90" spans="1:10" s="132" customFormat="1" hidden="1">
      <c r="A90" s="250" t="s">
        <v>470</v>
      </c>
      <c r="B90" s="113">
        <v>0</v>
      </c>
      <c r="C90" s="112">
        <v>17295.419999999998</v>
      </c>
      <c r="D90" s="561">
        <v>3478.46</v>
      </c>
      <c r="E90" s="114"/>
      <c r="F90" s="445">
        <v>31979</v>
      </c>
      <c r="G90" s="501">
        <f>G51*I88</f>
        <v>51473.691779999994</v>
      </c>
      <c r="H90" s="227">
        <v>1700</v>
      </c>
      <c r="I90" s="129"/>
      <c r="J90" s="120"/>
    </row>
    <row r="91" spans="1:10" s="117" customFormat="1" hidden="1">
      <c r="A91" s="250" t="s">
        <v>590</v>
      </c>
      <c r="B91" s="113">
        <v>39460.019999999997</v>
      </c>
      <c r="C91" s="112">
        <v>45882.22</v>
      </c>
      <c r="D91" s="561">
        <v>7928.98</v>
      </c>
      <c r="E91" s="114"/>
      <c r="F91" s="445">
        <v>48036</v>
      </c>
      <c r="G91" s="501">
        <f>G52*I88</f>
        <v>47913.957999999999</v>
      </c>
      <c r="H91" s="227" t="s">
        <v>124</v>
      </c>
      <c r="I91" s="116"/>
      <c r="J91" s="120"/>
    </row>
    <row r="92" spans="1:10" s="132" customFormat="1" hidden="1">
      <c r="A92" s="263" t="s">
        <v>558</v>
      </c>
      <c r="B92" s="213">
        <v>0</v>
      </c>
      <c r="C92" s="492">
        <v>0</v>
      </c>
      <c r="D92" s="561">
        <v>2803.9</v>
      </c>
      <c r="E92" s="472"/>
      <c r="F92" s="449">
        <v>0</v>
      </c>
      <c r="G92" s="501">
        <f>'FY25 PPSEL Salary &amp; Benefits'!M81*'FY25 PPSEL Revised summary'!I88</f>
        <v>21579.331999999999</v>
      </c>
      <c r="H92" s="229" t="s">
        <v>219</v>
      </c>
      <c r="I92" s="129"/>
      <c r="J92" s="120"/>
    </row>
    <row r="93" spans="1:10" s="132" customFormat="1" hidden="1">
      <c r="A93" s="263" t="s">
        <v>559</v>
      </c>
      <c r="B93" s="213">
        <v>0</v>
      </c>
      <c r="C93" s="112">
        <v>304.31</v>
      </c>
      <c r="D93" s="561">
        <v>1275.8</v>
      </c>
      <c r="E93" s="472"/>
      <c r="F93" s="449">
        <v>0</v>
      </c>
      <c r="G93" s="501">
        <f>'FY25 PPSEL Salary &amp; Benefits'!M83*'FY25 PPSEL Revised summary'!I88</f>
        <v>7654.78</v>
      </c>
      <c r="H93" s="229" t="s">
        <v>552</v>
      </c>
      <c r="I93" s="129"/>
      <c r="J93" s="120"/>
    </row>
    <row r="94" spans="1:10" s="117" customFormat="1" hidden="1">
      <c r="A94" s="250" t="s">
        <v>500</v>
      </c>
      <c r="B94" s="113">
        <v>0</v>
      </c>
      <c r="C94" s="112">
        <v>7735.87</v>
      </c>
      <c r="D94" s="561">
        <v>1895.4</v>
      </c>
      <c r="E94" s="114"/>
      <c r="F94" s="445">
        <v>17267</v>
      </c>
      <c r="G94" s="501">
        <f>G55*I88</f>
        <v>15090.637999999999</v>
      </c>
      <c r="H94" s="227">
        <v>2150</v>
      </c>
      <c r="I94" s="125"/>
      <c r="J94" s="120"/>
    </row>
    <row r="95" spans="1:10" s="117" customFormat="1" hidden="1">
      <c r="A95" s="250" t="s">
        <v>407</v>
      </c>
      <c r="B95" s="113">
        <v>2716.4</v>
      </c>
      <c r="C95" s="112">
        <v>2251.33</v>
      </c>
      <c r="D95" s="561">
        <v>725.43</v>
      </c>
      <c r="E95" s="114"/>
      <c r="F95" s="445">
        <v>3680</v>
      </c>
      <c r="G95" s="501">
        <f>G56*I88</f>
        <v>1926</v>
      </c>
      <c r="H95" s="227">
        <v>3100</v>
      </c>
      <c r="I95" s="116"/>
      <c r="J95" s="120"/>
    </row>
    <row r="96" spans="1:10" s="117" customFormat="1" hidden="1">
      <c r="A96" s="250" t="s">
        <v>408</v>
      </c>
      <c r="B96" s="113">
        <v>4624.04</v>
      </c>
      <c r="C96" s="112">
        <v>6370.37</v>
      </c>
      <c r="D96" s="561">
        <v>787.09</v>
      </c>
      <c r="E96" s="114"/>
      <c r="F96" s="445">
        <v>5479</v>
      </c>
      <c r="G96" s="501">
        <f>G57*I88</f>
        <v>5350</v>
      </c>
      <c r="H96" s="227">
        <v>2100</v>
      </c>
      <c r="I96" s="116"/>
      <c r="J96" s="120"/>
    </row>
    <row r="97" spans="1:10" s="117" customFormat="1" hidden="1">
      <c r="A97" s="250" t="s">
        <v>409</v>
      </c>
      <c r="B97" s="113">
        <v>35738.68</v>
      </c>
      <c r="C97" s="112">
        <v>17518.37</v>
      </c>
      <c r="D97" s="561">
        <v>4933.47</v>
      </c>
      <c r="E97" s="114"/>
      <c r="F97" s="445">
        <v>14370</v>
      </c>
      <c r="G97" s="501">
        <f>G58*I88</f>
        <v>7077.60916</v>
      </c>
      <c r="H97" s="227" t="s">
        <v>124</v>
      </c>
      <c r="I97" s="116"/>
      <c r="J97" s="120"/>
    </row>
    <row r="98" spans="1:10" s="117" customFormat="1" hidden="1">
      <c r="A98" s="250" t="s">
        <v>537</v>
      </c>
      <c r="B98" s="113">
        <v>0</v>
      </c>
      <c r="C98" s="112">
        <v>13765.86</v>
      </c>
      <c r="D98" s="561">
        <v>5053.68</v>
      </c>
      <c r="E98" s="114"/>
      <c r="F98" s="445">
        <v>14396</v>
      </c>
      <c r="G98" s="501">
        <f>G59*I88</f>
        <v>13931.86652</v>
      </c>
      <c r="H98" s="219">
        <v>1700</v>
      </c>
      <c r="I98" s="116"/>
      <c r="J98" s="120"/>
    </row>
    <row r="99" spans="1:10" s="117" customFormat="1" hidden="1">
      <c r="A99" s="250" t="s">
        <v>648</v>
      </c>
      <c r="B99" s="113">
        <v>15064.8</v>
      </c>
      <c r="C99" s="112">
        <v>17095.349999999999</v>
      </c>
      <c r="D99" s="561">
        <v>2921.1</v>
      </c>
      <c r="E99" s="114"/>
      <c r="F99" s="445">
        <v>17302</v>
      </c>
      <c r="G99" s="501">
        <f>G60*I88</f>
        <v>17526.599999999999</v>
      </c>
      <c r="H99" s="227" t="s">
        <v>107</v>
      </c>
      <c r="I99" s="116"/>
      <c r="J99" s="120"/>
    </row>
    <row r="100" spans="1:10" s="117" customFormat="1" hidden="1">
      <c r="A100" s="251" t="s">
        <v>650</v>
      </c>
      <c r="B100" s="126">
        <v>5931.28</v>
      </c>
      <c r="C100" s="536">
        <v>6339.29</v>
      </c>
      <c r="D100" s="564">
        <v>1120.8900000000001</v>
      </c>
      <c r="E100" s="127"/>
      <c r="F100" s="450">
        <v>6584</v>
      </c>
      <c r="G100" s="509">
        <f>G61*I88</f>
        <v>6583.71</v>
      </c>
      <c r="H100" s="230" t="s">
        <v>116</v>
      </c>
      <c r="I100" s="128"/>
      <c r="J100" s="120"/>
    </row>
    <row r="101" spans="1:10" hidden="1">
      <c r="A101" s="100" t="s">
        <v>502</v>
      </c>
      <c r="B101" s="85">
        <v>20492.64</v>
      </c>
      <c r="C101" s="530">
        <v>18520.05</v>
      </c>
      <c r="D101" s="561">
        <v>4635.16</v>
      </c>
      <c r="E101" s="110"/>
      <c r="F101" s="445">
        <v>22382</v>
      </c>
      <c r="G101" s="501">
        <f>'FY25 PPSEL Salary &amp; Benefits'!R87</f>
        <v>25581.52</v>
      </c>
      <c r="H101" s="219" t="s">
        <v>107</v>
      </c>
      <c r="I101" s="84"/>
      <c r="J101" s="99"/>
    </row>
    <row r="102" spans="1:10" hidden="1">
      <c r="A102" s="100" t="s">
        <v>503</v>
      </c>
      <c r="B102" s="85">
        <v>120319.52</v>
      </c>
      <c r="C102" s="530">
        <v>140017.82</v>
      </c>
      <c r="D102" s="561">
        <v>35960.29</v>
      </c>
      <c r="E102" s="110"/>
      <c r="F102" s="445">
        <v>147203</v>
      </c>
      <c r="G102" s="501">
        <f>'FY25 PPSEL Salary &amp; Benefits'!R74+'FY25 PPSEL Salary &amp; Benefits'!R75+'FY25 PPSEL Salary &amp; Benefits'!R76+'FY25 PPSEL Salary &amp; Benefits'!R84</f>
        <v>164005.07999999996</v>
      </c>
      <c r="H102" s="219" t="s">
        <v>124</v>
      </c>
      <c r="I102" s="84"/>
      <c r="J102" s="99"/>
    </row>
    <row r="103" spans="1:10" s="130" customFormat="1" hidden="1">
      <c r="A103" s="100" t="s">
        <v>501</v>
      </c>
      <c r="B103" s="85">
        <v>0</v>
      </c>
      <c r="C103" s="530">
        <v>9613.56</v>
      </c>
      <c r="D103" s="561">
        <v>3369.77</v>
      </c>
      <c r="E103" s="110"/>
      <c r="F103" s="445">
        <v>10095</v>
      </c>
      <c r="G103" s="501">
        <f>'FY25 PPSEL Salary &amp; Benefits'!R80</f>
        <v>25625.52</v>
      </c>
      <c r="H103" s="219">
        <v>1700</v>
      </c>
      <c r="I103" s="133"/>
      <c r="J103" s="99"/>
    </row>
    <row r="104" spans="1:10" hidden="1">
      <c r="A104" s="100" t="s">
        <v>505</v>
      </c>
      <c r="B104" s="85">
        <v>26234.71</v>
      </c>
      <c r="C104" s="530">
        <v>21714.93</v>
      </c>
      <c r="D104" s="561">
        <v>4411.5200000000004</v>
      </c>
      <c r="E104" s="110"/>
      <c r="F104" s="445">
        <v>22801</v>
      </c>
      <c r="G104" s="501">
        <f>'FY25 PPSEL Salary &amp; Benefits'!R79</f>
        <v>17113.68</v>
      </c>
      <c r="H104" s="219" t="s">
        <v>124</v>
      </c>
      <c r="I104" s="84"/>
      <c r="J104" s="99"/>
    </row>
    <row r="105" spans="1:10" s="130" customFormat="1" hidden="1">
      <c r="A105" s="262" t="s">
        <v>637</v>
      </c>
      <c r="B105" s="288">
        <v>0</v>
      </c>
      <c r="C105" s="538">
        <v>0</v>
      </c>
      <c r="D105" s="561">
        <v>1093.3</v>
      </c>
      <c r="E105" s="473"/>
      <c r="F105" s="449">
        <v>0</v>
      </c>
      <c r="G105" s="501">
        <f>'FY25 PPSEL Salary &amp; Benefits'!R81</f>
        <v>8556.84</v>
      </c>
      <c r="H105" s="229"/>
      <c r="I105" s="133"/>
      <c r="J105" s="99"/>
    </row>
    <row r="106" spans="1:10" hidden="1">
      <c r="A106" s="100" t="s">
        <v>506</v>
      </c>
      <c r="B106" s="85">
        <v>0</v>
      </c>
      <c r="C106" s="530">
        <v>2824.81</v>
      </c>
      <c r="D106" s="561">
        <v>2004.21</v>
      </c>
      <c r="E106" s="110"/>
      <c r="F106" s="445">
        <v>3345</v>
      </c>
      <c r="G106" s="501">
        <f>'FY25 PPSEL Salary &amp; Benefits'!R82</f>
        <v>8556.84</v>
      </c>
      <c r="H106" s="219">
        <v>2150</v>
      </c>
      <c r="I106" s="134"/>
      <c r="J106" s="99"/>
    </row>
    <row r="107" spans="1:10" hidden="1">
      <c r="A107" s="100" t="s">
        <v>538</v>
      </c>
      <c r="B107" s="85">
        <v>0</v>
      </c>
      <c r="C107" s="530">
        <v>3791.04</v>
      </c>
      <c r="D107" s="561">
        <v>0</v>
      </c>
      <c r="E107" s="110"/>
      <c r="F107" s="445">
        <v>3981</v>
      </c>
      <c r="G107" s="501">
        <v>0</v>
      </c>
      <c r="H107" s="219">
        <v>1700</v>
      </c>
      <c r="I107" s="84"/>
      <c r="J107" s="99"/>
    </row>
    <row r="108" spans="1:10" hidden="1">
      <c r="A108" s="100" t="s">
        <v>651</v>
      </c>
      <c r="B108" s="468">
        <v>0</v>
      </c>
      <c r="C108" s="530">
        <v>0</v>
      </c>
      <c r="D108" s="561">
        <v>88.76</v>
      </c>
      <c r="E108" s="110"/>
      <c r="F108" s="445">
        <v>0</v>
      </c>
      <c r="G108" s="501"/>
      <c r="H108" s="219"/>
      <c r="I108" s="84"/>
      <c r="J108" s="99"/>
    </row>
    <row r="109" spans="1:10" hidden="1">
      <c r="A109" s="100" t="s">
        <v>614</v>
      </c>
      <c r="B109" s="85">
        <v>7509.41</v>
      </c>
      <c r="C109" s="530">
        <v>7609</v>
      </c>
      <c r="D109" s="561">
        <v>2139.27</v>
      </c>
      <c r="E109" s="110"/>
      <c r="F109" s="445">
        <v>7989</v>
      </c>
      <c r="G109" s="501">
        <f>'FY25 PPSEL Salary &amp; Benefits'!R88</f>
        <v>8556.84</v>
      </c>
      <c r="H109" s="219" t="s">
        <v>107</v>
      </c>
      <c r="I109" s="84"/>
      <c r="J109" s="99"/>
    </row>
    <row r="110" spans="1:10" hidden="1">
      <c r="A110" s="100" t="s">
        <v>504</v>
      </c>
      <c r="B110" s="85">
        <v>0</v>
      </c>
      <c r="C110" s="530">
        <v>54</v>
      </c>
      <c r="D110" s="561">
        <v>16.260000000000002</v>
      </c>
      <c r="E110" s="110"/>
      <c r="F110" s="445">
        <v>57</v>
      </c>
      <c r="G110" s="501">
        <f>'FY25 PPSEL Salary &amp; Benefits'!R89</f>
        <v>65.039999999999992</v>
      </c>
      <c r="H110" s="219" t="s">
        <v>116</v>
      </c>
      <c r="I110" s="84">
        <f>SUM(G101:G110)</f>
        <v>258061.35999999993</v>
      </c>
      <c r="J110" s="99"/>
    </row>
    <row r="111" spans="1:10" ht="16" hidden="1" thickBot="1">
      <c r="A111" s="100" t="s">
        <v>152</v>
      </c>
      <c r="B111" s="85">
        <v>100754</v>
      </c>
      <c r="C111" s="530">
        <v>8498</v>
      </c>
      <c r="D111" s="561">
        <v>0</v>
      </c>
      <c r="E111" s="482"/>
      <c r="F111" s="123">
        <v>100000</v>
      </c>
      <c r="G111" s="510">
        <v>50000</v>
      </c>
      <c r="H111" s="219" t="s">
        <v>107</v>
      </c>
      <c r="I111" s="84" t="s">
        <v>474</v>
      </c>
      <c r="J111" s="99"/>
    </row>
    <row r="112" spans="1:10" hidden="1">
      <c r="A112" s="204" t="s">
        <v>417</v>
      </c>
      <c r="B112" s="205">
        <f>28300+2100</f>
        <v>30400</v>
      </c>
      <c r="C112" s="528">
        <v>30500</v>
      </c>
      <c r="D112" s="565">
        <v>15000</v>
      </c>
      <c r="E112" s="112"/>
      <c r="F112" s="115">
        <v>15500</v>
      </c>
      <c r="G112" s="511">
        <f>'FY25 PPSEL Salary &amp; Benefits'!M62</f>
        <v>15000</v>
      </c>
      <c r="H112" s="231" t="s">
        <v>107</v>
      </c>
      <c r="I112" s="206"/>
      <c r="J112" s="99"/>
    </row>
    <row r="113" spans="1:10" hidden="1">
      <c r="A113" s="207" t="s">
        <v>475</v>
      </c>
      <c r="B113" s="113">
        <v>182250</v>
      </c>
      <c r="C113" s="112">
        <v>231000</v>
      </c>
      <c r="D113" s="561">
        <v>115000</v>
      </c>
      <c r="E113" s="114"/>
      <c r="F113" s="115">
        <v>113500</v>
      </c>
      <c r="G113" s="511">
        <f>'FY25 PPSEL Salary &amp; Benefits'!M10+'FY25 PPSEL Salary &amp; Benefits'!M24+'FY25 PPSEL Salary &amp; Benefits'!M32+'FY25 PPSEL Salary &amp; Benefits'!M38</f>
        <v>117500</v>
      </c>
      <c r="H113" s="232" t="s">
        <v>124</v>
      </c>
      <c r="I113" s="208"/>
      <c r="J113" s="99"/>
    </row>
    <row r="114" spans="1:10" s="101" customFormat="1" hidden="1">
      <c r="A114" s="207" t="s">
        <v>471</v>
      </c>
      <c r="B114" s="113">
        <v>0</v>
      </c>
      <c r="C114" s="112">
        <v>38000</v>
      </c>
      <c r="D114" s="561">
        <v>25000</v>
      </c>
      <c r="E114" s="114"/>
      <c r="F114" s="115">
        <v>16000</v>
      </c>
      <c r="G114" s="511">
        <f>'FY25 PPSEL Salary &amp; Benefits'!M57-G118</f>
        <v>51500</v>
      </c>
      <c r="H114" s="232">
        <v>1700</v>
      </c>
      <c r="I114" s="208"/>
      <c r="J114" s="99"/>
    </row>
    <row r="115" spans="1:10" hidden="1">
      <c r="A115" s="207" t="s">
        <v>416</v>
      </c>
      <c r="B115" s="113">
        <v>30100</v>
      </c>
      <c r="C115" s="112">
        <v>32500</v>
      </c>
      <c r="D115" s="561">
        <v>15000</v>
      </c>
      <c r="E115" s="114"/>
      <c r="F115" s="115">
        <v>15000</v>
      </c>
      <c r="G115" s="511">
        <f>'FY25 PPSEL Salary &amp; Benefits'!M46</f>
        <v>20000</v>
      </c>
      <c r="H115" s="232" t="s">
        <v>124</v>
      </c>
      <c r="I115" s="208"/>
      <c r="J115" s="99"/>
    </row>
    <row r="116" spans="1:10" hidden="1">
      <c r="A116" s="207" t="s">
        <v>664</v>
      </c>
      <c r="B116" s="113"/>
      <c r="C116" s="112"/>
      <c r="D116" s="561">
        <v>5000</v>
      </c>
      <c r="E116" s="114"/>
      <c r="F116" s="115"/>
      <c r="G116" s="511"/>
      <c r="H116" s="232"/>
      <c r="I116" s="208"/>
      <c r="J116" s="99"/>
    </row>
    <row r="117" spans="1:10" hidden="1">
      <c r="A117" s="207" t="s">
        <v>665</v>
      </c>
      <c r="B117" s="113"/>
      <c r="C117" s="112"/>
      <c r="D117" s="561">
        <v>3000</v>
      </c>
      <c r="E117" s="114"/>
      <c r="F117" s="115"/>
      <c r="G117" s="511"/>
      <c r="H117" s="232"/>
      <c r="I117" s="208"/>
      <c r="J117" s="99"/>
    </row>
    <row r="118" spans="1:10" hidden="1">
      <c r="A118" s="209" t="s">
        <v>507</v>
      </c>
      <c r="B118" s="113">
        <v>0</v>
      </c>
      <c r="C118" s="112">
        <v>5000</v>
      </c>
      <c r="D118" s="561">
        <v>5000</v>
      </c>
      <c r="E118" s="114"/>
      <c r="F118" s="115">
        <v>2500</v>
      </c>
      <c r="G118" s="511">
        <f>1500</f>
        <v>1500</v>
      </c>
      <c r="H118" s="232" t="s">
        <v>497</v>
      </c>
      <c r="I118" s="210"/>
      <c r="J118" s="99"/>
    </row>
    <row r="119" spans="1:10" hidden="1">
      <c r="A119" s="207" t="s">
        <v>446</v>
      </c>
      <c r="B119" s="113">
        <v>500</v>
      </c>
      <c r="C119" s="112">
        <v>3200</v>
      </c>
      <c r="D119" s="561">
        <v>2500</v>
      </c>
      <c r="E119" s="114"/>
      <c r="F119" s="115">
        <v>4300</v>
      </c>
      <c r="G119" s="511">
        <f>'FY25 PPSEL Salary &amp; Benefits'!M68</f>
        <v>2500</v>
      </c>
      <c r="H119" s="232" t="s">
        <v>124</v>
      </c>
      <c r="I119" s="210"/>
      <c r="J119" s="99"/>
    </row>
    <row r="120" spans="1:10" hidden="1">
      <c r="A120" s="207" t="s">
        <v>418</v>
      </c>
      <c r="B120" s="113">
        <v>8000</v>
      </c>
      <c r="C120" s="112">
        <v>7200</v>
      </c>
      <c r="D120" s="561">
        <v>5000</v>
      </c>
      <c r="E120" s="114"/>
      <c r="F120" s="115">
        <v>3000</v>
      </c>
      <c r="G120" s="511">
        <f>'FY25 PPSEL Salary &amp; Benefits'!M70</f>
        <v>5000</v>
      </c>
      <c r="H120" s="232" t="s">
        <v>124</v>
      </c>
      <c r="I120" s="208"/>
      <c r="J120" s="99"/>
    </row>
    <row r="121" spans="1:10" hidden="1">
      <c r="A121" s="207" t="s">
        <v>472</v>
      </c>
      <c r="B121" s="113">
        <v>8350</v>
      </c>
      <c r="C121" s="112">
        <v>38500</v>
      </c>
      <c r="D121" s="561">
        <v>21250</v>
      </c>
      <c r="E121" s="114"/>
      <c r="F121" s="115">
        <v>18000</v>
      </c>
      <c r="G121" s="511">
        <v>0</v>
      </c>
      <c r="H121" s="232" t="s">
        <v>124</v>
      </c>
      <c r="I121" s="208"/>
      <c r="J121" s="99"/>
    </row>
    <row r="122" spans="1:10" hidden="1">
      <c r="A122" s="207" t="s">
        <v>615</v>
      </c>
      <c r="B122" s="113">
        <v>15800</v>
      </c>
      <c r="C122" s="112">
        <v>20000</v>
      </c>
      <c r="D122" s="561">
        <v>10000</v>
      </c>
      <c r="E122" s="114"/>
      <c r="F122" s="115">
        <v>10000</v>
      </c>
      <c r="G122" s="511">
        <f>'FY25 PPSEL Salary &amp; Benefits'!M62</f>
        <v>15000</v>
      </c>
      <c r="H122" s="232" t="s">
        <v>107</v>
      </c>
      <c r="I122" s="208"/>
      <c r="J122" s="99"/>
    </row>
    <row r="123" spans="1:10" ht="16" hidden="1" thickBot="1">
      <c r="A123" s="211" t="s">
        <v>419</v>
      </c>
      <c r="B123" s="121">
        <v>3750</v>
      </c>
      <c r="C123" s="535">
        <v>3500</v>
      </c>
      <c r="D123" s="563">
        <v>2000</v>
      </c>
      <c r="E123" s="122"/>
      <c r="F123" s="123">
        <v>2500</v>
      </c>
      <c r="G123" s="510">
        <f>'FY25 PPSEL Salary &amp; Benefits'!M67</f>
        <v>2000</v>
      </c>
      <c r="H123" s="233" t="s">
        <v>116</v>
      </c>
      <c r="I123" s="212"/>
      <c r="J123" s="99"/>
    </row>
    <row r="124" spans="1:10" s="64" customFormat="1" ht="16">
      <c r="A124" s="135" t="s">
        <v>22</v>
      </c>
      <c r="B124" s="136">
        <f>SUM(B64:B123)</f>
        <v>971932.47</v>
      </c>
      <c r="C124" s="136">
        <f>SUM(C64:C123)</f>
        <v>1136224.0500000003</v>
      </c>
      <c r="D124" s="136">
        <f>SUM(D64:D123)</f>
        <v>385847.55999999994</v>
      </c>
      <c r="E124" s="479">
        <f>D124/F124</f>
        <v>0.35639046269629998</v>
      </c>
      <c r="F124" s="136">
        <f>SUM(F64:F123)</f>
        <v>1082654</v>
      </c>
      <c r="G124" s="512">
        <f>SUM(G64:G123)</f>
        <v>1167444.894415</v>
      </c>
      <c r="H124" s="234"/>
      <c r="I124" s="273"/>
      <c r="J124" s="63"/>
    </row>
    <row r="125" spans="1:10">
      <c r="A125" s="75" t="s">
        <v>23</v>
      </c>
      <c r="B125" s="80">
        <v>750</v>
      </c>
      <c r="C125" s="527">
        <v>11498</v>
      </c>
      <c r="D125" s="555">
        <v>0</v>
      </c>
      <c r="E125" s="81"/>
      <c r="F125" s="445">
        <v>8000</v>
      </c>
      <c r="G125" s="501">
        <f>8000</f>
        <v>8000</v>
      </c>
      <c r="H125" s="219" t="s">
        <v>107</v>
      </c>
      <c r="I125" s="84" t="s">
        <v>656</v>
      </c>
      <c r="J125" s="99"/>
    </row>
    <row r="126" spans="1:10" hidden="1">
      <c r="A126" s="75" t="s">
        <v>24</v>
      </c>
      <c r="B126" s="80">
        <f>2527.32+60.01+1137.62</f>
        <v>3724.9500000000003</v>
      </c>
      <c r="C126" s="527">
        <v>3770</v>
      </c>
      <c r="D126" s="555">
        <v>972.8</v>
      </c>
      <c r="E126" s="81"/>
      <c r="F126" s="443">
        <v>4000</v>
      </c>
      <c r="G126" s="498">
        <f>400*11</f>
        <v>4400</v>
      </c>
      <c r="H126" s="219" t="s">
        <v>127</v>
      </c>
      <c r="I126" s="137"/>
      <c r="J126" s="99"/>
    </row>
    <row r="127" spans="1:10" hidden="1">
      <c r="A127" s="75" t="s">
        <v>151</v>
      </c>
      <c r="B127" s="80">
        <v>3500</v>
      </c>
      <c r="C127" s="527">
        <v>3300</v>
      </c>
      <c r="D127" s="555">
        <v>0</v>
      </c>
      <c r="E127" s="81"/>
      <c r="F127" s="443">
        <v>7000</v>
      </c>
      <c r="G127" s="498">
        <f>7000</f>
        <v>7000</v>
      </c>
      <c r="H127" s="219" t="s">
        <v>212</v>
      </c>
      <c r="I127" s="84"/>
      <c r="J127" s="99"/>
    </row>
    <row r="128" spans="1:10" hidden="1">
      <c r="A128" s="138" t="s">
        <v>25</v>
      </c>
      <c r="B128" s="139">
        <v>29598.99</v>
      </c>
      <c r="C128" s="539">
        <v>36436</v>
      </c>
      <c r="D128" s="566">
        <v>9599.99</v>
      </c>
      <c r="E128" s="140"/>
      <c r="F128" s="451">
        <v>60000</v>
      </c>
      <c r="G128" s="513">
        <v>60000</v>
      </c>
      <c r="H128" s="235" t="s">
        <v>124</v>
      </c>
      <c r="I128" s="194" t="s">
        <v>676</v>
      </c>
      <c r="J128" s="99"/>
    </row>
    <row r="129" spans="1:10" hidden="1">
      <c r="A129" s="75" t="s">
        <v>26</v>
      </c>
      <c r="B129" s="80">
        <v>3939</v>
      </c>
      <c r="C129" s="527">
        <v>3678</v>
      </c>
      <c r="D129" s="555">
        <v>750</v>
      </c>
      <c r="E129" s="81"/>
      <c r="F129" s="443">
        <v>10000</v>
      </c>
      <c r="G129" s="498">
        <v>10000</v>
      </c>
      <c r="H129" s="219" t="s">
        <v>213</v>
      </c>
      <c r="I129" s="84"/>
      <c r="J129" s="99"/>
    </row>
    <row r="130" spans="1:10" hidden="1">
      <c r="A130" s="75" t="s">
        <v>27</v>
      </c>
      <c r="B130" s="80">
        <v>9400</v>
      </c>
      <c r="C130" s="527">
        <v>17550</v>
      </c>
      <c r="D130" s="555">
        <v>8850</v>
      </c>
      <c r="E130" s="81"/>
      <c r="F130" s="443">
        <v>12000</v>
      </c>
      <c r="G130" s="498">
        <f>12000</f>
        <v>12000</v>
      </c>
      <c r="H130" s="219" t="s">
        <v>214</v>
      </c>
      <c r="I130" s="84"/>
      <c r="J130" s="99"/>
    </row>
    <row r="131" spans="1:10" hidden="1">
      <c r="A131" s="141" t="s">
        <v>508</v>
      </c>
      <c r="B131" s="142">
        <v>0</v>
      </c>
      <c r="C131" s="540">
        <v>22578</v>
      </c>
      <c r="D131" s="567">
        <v>1950</v>
      </c>
      <c r="E131" s="143"/>
      <c r="F131" s="452">
        <v>25000</v>
      </c>
      <c r="G131" s="514">
        <f>1950*9</f>
        <v>17550</v>
      </c>
      <c r="H131" s="236" t="s">
        <v>120</v>
      </c>
      <c r="I131" s="195" t="s">
        <v>526</v>
      </c>
      <c r="J131" s="99"/>
    </row>
    <row r="132" spans="1:10" hidden="1">
      <c r="A132" s="141" t="s">
        <v>509</v>
      </c>
      <c r="B132" s="142">
        <v>0</v>
      </c>
      <c r="C132" s="540">
        <v>34902</v>
      </c>
      <c r="D132" s="567">
        <v>11400</v>
      </c>
      <c r="E132" s="143"/>
      <c r="F132" s="452">
        <v>20000</v>
      </c>
      <c r="G132" s="514">
        <v>11000</v>
      </c>
      <c r="H132" s="236" t="s">
        <v>120</v>
      </c>
      <c r="I132" s="195" t="s">
        <v>527</v>
      </c>
      <c r="J132" s="99"/>
    </row>
    <row r="133" spans="1:10" hidden="1">
      <c r="A133" s="141" t="s">
        <v>528</v>
      </c>
      <c r="B133" s="142">
        <v>0</v>
      </c>
      <c r="C133" s="540">
        <v>0</v>
      </c>
      <c r="D133" s="567">
        <v>0</v>
      </c>
      <c r="E133" s="143"/>
      <c r="F133" s="452">
        <v>0</v>
      </c>
      <c r="G133" s="514">
        <f>0</f>
        <v>0</v>
      </c>
      <c r="H133" s="236">
        <v>2100</v>
      </c>
      <c r="I133" s="195"/>
      <c r="J133" s="99"/>
    </row>
    <row r="134" spans="1:10" hidden="1">
      <c r="A134" s="75" t="s">
        <v>28</v>
      </c>
      <c r="B134" s="80">
        <v>1750</v>
      </c>
      <c r="C134" s="527">
        <v>1250</v>
      </c>
      <c r="D134" s="555">
        <v>0</v>
      </c>
      <c r="E134" s="81"/>
      <c r="F134" s="443">
        <v>1500</v>
      </c>
      <c r="G134" s="498">
        <f>1500</f>
        <v>1500</v>
      </c>
      <c r="H134" s="219" t="s">
        <v>219</v>
      </c>
      <c r="I134" s="84" t="s">
        <v>657</v>
      </c>
      <c r="J134" s="99"/>
    </row>
    <row r="135" spans="1:10" hidden="1">
      <c r="A135" s="75" t="s">
        <v>29</v>
      </c>
      <c r="B135" s="80">
        <v>3592.13</v>
      </c>
      <c r="C135" s="527">
        <v>4478</v>
      </c>
      <c r="D135" s="555">
        <v>3392.94</v>
      </c>
      <c r="E135" s="81"/>
      <c r="F135" s="443">
        <v>4000</v>
      </c>
      <c r="G135" s="498">
        <v>4000</v>
      </c>
      <c r="H135" s="219" t="s">
        <v>215</v>
      </c>
      <c r="I135" s="84"/>
      <c r="J135" s="99"/>
    </row>
    <row r="136" spans="1:10" hidden="1">
      <c r="A136" s="75" t="s">
        <v>30</v>
      </c>
      <c r="B136" s="80">
        <v>964.75</v>
      </c>
      <c r="C136" s="527">
        <v>2383</v>
      </c>
      <c r="D136" s="555">
        <v>835.2</v>
      </c>
      <c r="E136" s="81"/>
      <c r="F136" s="443">
        <v>15000</v>
      </c>
      <c r="G136" s="498">
        <v>10000</v>
      </c>
      <c r="H136" s="219" t="s">
        <v>127</v>
      </c>
      <c r="I136" s="84"/>
      <c r="J136" s="99"/>
    </row>
    <row r="137" spans="1:10" hidden="1">
      <c r="A137" s="75" t="s">
        <v>31</v>
      </c>
      <c r="B137" s="80">
        <v>192.17</v>
      </c>
      <c r="C137" s="527">
        <v>4850</v>
      </c>
      <c r="D137" s="555">
        <v>5314.46</v>
      </c>
      <c r="E137" s="81"/>
      <c r="F137" s="443">
        <v>10000</v>
      </c>
      <c r="G137" s="498">
        <v>15000</v>
      </c>
      <c r="H137" s="219" t="s">
        <v>216</v>
      </c>
      <c r="I137" s="137"/>
      <c r="J137" s="99"/>
    </row>
    <row r="138" spans="1:10" hidden="1">
      <c r="A138" s="75" t="s">
        <v>32</v>
      </c>
      <c r="B138" s="80">
        <v>41402</v>
      </c>
      <c r="C138" s="527">
        <v>43080</v>
      </c>
      <c r="D138" s="555">
        <v>14200.64</v>
      </c>
      <c r="E138" s="81"/>
      <c r="F138" s="443">
        <v>45000</v>
      </c>
      <c r="G138" s="498">
        <v>45000</v>
      </c>
      <c r="H138" s="219" t="s">
        <v>127</v>
      </c>
      <c r="I138" s="84" t="s">
        <v>519</v>
      </c>
      <c r="J138" s="99"/>
    </row>
    <row r="139" spans="1:10" s="144" customFormat="1" hidden="1">
      <c r="A139" s="75" t="s">
        <v>33</v>
      </c>
      <c r="B139" s="80">
        <f>4500</f>
        <v>4500</v>
      </c>
      <c r="C139" s="527">
        <v>5258</v>
      </c>
      <c r="D139" s="555">
        <v>745.46</v>
      </c>
      <c r="E139" s="81"/>
      <c r="F139" s="443">
        <v>0</v>
      </c>
      <c r="G139" s="498">
        <v>5500</v>
      </c>
      <c r="H139" s="219">
        <v>5000</v>
      </c>
      <c r="I139" s="137"/>
      <c r="J139" s="99"/>
    </row>
    <row r="140" spans="1:10" s="99" customFormat="1" hidden="1">
      <c r="A140" s="75" t="s">
        <v>34</v>
      </c>
      <c r="B140" s="80">
        <v>9168.81</v>
      </c>
      <c r="C140" s="527">
        <v>2484</v>
      </c>
      <c r="D140" s="555">
        <f>11487.31+495</f>
        <v>11982.31</v>
      </c>
      <c r="E140" s="81"/>
      <c r="F140" s="443">
        <v>10000</v>
      </c>
      <c r="G140" s="498">
        <v>20000</v>
      </c>
      <c r="H140" s="219" t="s">
        <v>212</v>
      </c>
      <c r="I140" s="84" t="s">
        <v>539</v>
      </c>
    </row>
    <row r="141" spans="1:10" hidden="1">
      <c r="A141" s="75" t="s">
        <v>35</v>
      </c>
      <c r="B141" s="80">
        <v>0</v>
      </c>
      <c r="C141" s="527">
        <v>464</v>
      </c>
      <c r="D141" s="555">
        <v>0</v>
      </c>
      <c r="E141" s="81"/>
      <c r="F141" s="443">
        <v>200</v>
      </c>
      <c r="G141" s="498">
        <v>500</v>
      </c>
      <c r="H141" s="219" t="s">
        <v>107</v>
      </c>
      <c r="I141" s="84"/>
      <c r="J141" s="99"/>
    </row>
    <row r="142" spans="1:10" hidden="1">
      <c r="A142" s="145" t="s">
        <v>36</v>
      </c>
      <c r="B142" s="146">
        <v>8312.2900000000009</v>
      </c>
      <c r="C142" s="541">
        <v>8100</v>
      </c>
      <c r="D142" s="562">
        <v>1989.39</v>
      </c>
      <c r="E142" s="119"/>
      <c r="F142" s="453">
        <v>8500</v>
      </c>
      <c r="G142" s="515">
        <v>8500</v>
      </c>
      <c r="H142" s="237">
        <v>2300</v>
      </c>
      <c r="I142" s="196" t="s">
        <v>669</v>
      </c>
      <c r="J142" s="99"/>
    </row>
    <row r="143" spans="1:10" ht="16" hidden="1" thickBot="1">
      <c r="A143" s="147" t="s">
        <v>37</v>
      </c>
      <c r="B143" s="148">
        <v>83817.350000000006</v>
      </c>
      <c r="C143" s="542">
        <v>89232</v>
      </c>
      <c r="D143" s="568">
        <v>20742.689999999999</v>
      </c>
      <c r="E143" s="149"/>
      <c r="F143" s="454">
        <v>90000</v>
      </c>
      <c r="G143" s="516">
        <f>G3*220.04</f>
        <v>88016</v>
      </c>
      <c r="H143" s="238" t="s">
        <v>217</v>
      </c>
      <c r="I143" s="197" t="s">
        <v>671</v>
      </c>
      <c r="J143" s="99"/>
    </row>
    <row r="144" spans="1:10" s="64" customFormat="1" ht="16">
      <c r="A144" s="135" t="s">
        <v>38</v>
      </c>
      <c r="B144" s="136">
        <f>SUM(B125:B143)</f>
        <v>204612.44</v>
      </c>
      <c r="C144" s="136">
        <f>SUM(C125:C143)</f>
        <v>295291</v>
      </c>
      <c r="D144" s="136">
        <f>SUM(D125:D143)</f>
        <v>92725.88</v>
      </c>
      <c r="E144" s="479">
        <f>Table132[[#This Row],[FY25 Actuals through 9/30/24]]/F144</f>
        <v>0.28081732283464567</v>
      </c>
      <c r="F144" s="136">
        <f>SUM(F125:F143)</f>
        <v>330200</v>
      </c>
      <c r="G144" s="512">
        <f>SUM(G125:G143)</f>
        <v>327966</v>
      </c>
      <c r="H144" s="234"/>
      <c r="I144" s="193"/>
      <c r="J144" s="63"/>
    </row>
    <row r="145" spans="1:10">
      <c r="A145" s="75" t="s">
        <v>39</v>
      </c>
      <c r="B145" s="80"/>
      <c r="C145" s="459"/>
      <c r="D145" s="555"/>
      <c r="E145" s="457"/>
      <c r="F145" s="445"/>
      <c r="G145" s="501"/>
      <c r="H145" s="222"/>
      <c r="I145" s="84"/>
      <c r="J145" s="99"/>
    </row>
    <row r="146" spans="1:10" hidden="1">
      <c r="A146" s="75" t="s">
        <v>40</v>
      </c>
      <c r="B146" s="80">
        <v>10000.719999999999</v>
      </c>
      <c r="C146" s="527">
        <v>16575</v>
      </c>
      <c r="D146" s="555">
        <v>2387.9699999999998</v>
      </c>
      <c r="E146" s="81"/>
      <c r="F146" s="443">
        <v>20000</v>
      </c>
      <c r="G146" s="498">
        <v>20000</v>
      </c>
      <c r="H146" s="219" t="s">
        <v>116</v>
      </c>
      <c r="I146" s="137"/>
      <c r="J146" s="99"/>
    </row>
    <row r="147" spans="1:10" hidden="1">
      <c r="A147" s="75" t="s">
        <v>41</v>
      </c>
      <c r="B147" s="80">
        <v>11775.19</v>
      </c>
      <c r="C147" s="527">
        <v>16014</v>
      </c>
      <c r="D147" s="555">
        <v>5603.27</v>
      </c>
      <c r="E147" s="81"/>
      <c r="F147" s="443">
        <v>20000</v>
      </c>
      <c r="G147" s="498">
        <v>20000</v>
      </c>
      <c r="H147" s="219" t="s">
        <v>116</v>
      </c>
      <c r="I147" s="84"/>
      <c r="J147" s="99"/>
    </row>
    <row r="148" spans="1:10" hidden="1">
      <c r="A148" s="75" t="s">
        <v>42</v>
      </c>
      <c r="B148" s="80">
        <v>11567.5</v>
      </c>
      <c r="C148" s="527">
        <v>10224</v>
      </c>
      <c r="D148" s="555">
        <v>0</v>
      </c>
      <c r="E148" s="81"/>
      <c r="F148" s="443">
        <v>25000</v>
      </c>
      <c r="G148" s="498">
        <v>25000</v>
      </c>
      <c r="H148" s="219" t="s">
        <v>116</v>
      </c>
      <c r="I148" s="84"/>
      <c r="J148" s="99"/>
    </row>
    <row r="149" spans="1:10" hidden="1">
      <c r="A149" s="75" t="s">
        <v>476</v>
      </c>
      <c r="B149" s="80">
        <f>34795.39+46.26</f>
        <v>34841.65</v>
      </c>
      <c r="C149" s="527">
        <v>64659</v>
      </c>
      <c r="D149" s="555">
        <v>32116.22</v>
      </c>
      <c r="E149" s="81"/>
      <c r="F149" s="443">
        <v>60000</v>
      </c>
      <c r="G149" s="498">
        <v>70000</v>
      </c>
      <c r="H149" s="219" t="s">
        <v>116</v>
      </c>
      <c r="I149" s="84"/>
      <c r="J149" s="99"/>
    </row>
    <row r="150" spans="1:10" s="144" customFormat="1" hidden="1">
      <c r="A150" s="75" t="s">
        <v>43</v>
      </c>
      <c r="B150" s="80">
        <v>302595.53999999998</v>
      </c>
      <c r="C150" s="527">
        <v>302845</v>
      </c>
      <c r="D150" s="555">
        <v>0</v>
      </c>
      <c r="E150" s="81"/>
      <c r="F150" s="443">
        <v>302845</v>
      </c>
      <c r="G150" s="498">
        <f>302845</f>
        <v>302845</v>
      </c>
      <c r="H150" s="219" t="s">
        <v>116</v>
      </c>
      <c r="I150" s="84" t="s">
        <v>396</v>
      </c>
      <c r="J150" s="99"/>
    </row>
    <row r="151" spans="1:10" s="144" customFormat="1" ht="16" hidden="1" thickBot="1">
      <c r="A151" s="86" t="s">
        <v>389</v>
      </c>
      <c r="B151" s="87">
        <f>2604</f>
        <v>2604</v>
      </c>
      <c r="C151" s="531">
        <v>2665</v>
      </c>
      <c r="D151" s="556">
        <v>908</v>
      </c>
      <c r="E151" s="88"/>
      <c r="F151" s="444">
        <v>3000</v>
      </c>
      <c r="G151" s="499">
        <v>3000</v>
      </c>
      <c r="H151" s="220">
        <v>2620</v>
      </c>
      <c r="I151" s="89"/>
      <c r="J151" s="99"/>
    </row>
    <row r="152" spans="1:10" s="64" customFormat="1" ht="16">
      <c r="A152" s="135" t="s">
        <v>44</v>
      </c>
      <c r="B152" s="136">
        <f>SUM(B146:B151)</f>
        <v>373384.6</v>
      </c>
      <c r="C152" s="136">
        <f t="shared" ref="C152:G152" si="3">SUM(C146:C151)</f>
        <v>412982</v>
      </c>
      <c r="D152" s="136">
        <f t="shared" si="3"/>
        <v>41015.46</v>
      </c>
      <c r="E152" s="479">
        <f>Table132[[#This Row],[FY25 Actuals through 9/30/24]]/F152</f>
        <v>9.5197716116004596E-2</v>
      </c>
      <c r="F152" s="136">
        <f t="shared" si="3"/>
        <v>430845</v>
      </c>
      <c r="G152" s="512">
        <f t="shared" si="3"/>
        <v>440845</v>
      </c>
      <c r="H152" s="234"/>
      <c r="I152" s="193"/>
      <c r="J152" s="63"/>
    </row>
    <row r="153" spans="1:10">
      <c r="A153" s="75" t="s">
        <v>45</v>
      </c>
      <c r="B153" s="94"/>
      <c r="C153" s="460"/>
      <c r="D153" s="555"/>
      <c r="E153" s="457"/>
      <c r="F153" s="445"/>
      <c r="G153" s="501"/>
      <c r="H153" s="222"/>
      <c r="I153" s="84"/>
      <c r="J153" s="99"/>
    </row>
    <row r="154" spans="1:10" hidden="1">
      <c r="A154" s="100" t="s">
        <v>420</v>
      </c>
      <c r="B154" s="85">
        <v>52429.98</v>
      </c>
      <c r="C154" s="530">
        <v>60458</v>
      </c>
      <c r="D154" s="555">
        <v>0</v>
      </c>
      <c r="E154" s="81"/>
      <c r="F154" s="443">
        <v>65000</v>
      </c>
      <c r="G154" s="498">
        <v>65000</v>
      </c>
      <c r="H154" s="219">
        <v>2850</v>
      </c>
      <c r="I154" s="84" t="s">
        <v>442</v>
      </c>
      <c r="J154" s="99"/>
    </row>
    <row r="155" spans="1:10" hidden="1">
      <c r="A155" s="100" t="s">
        <v>432</v>
      </c>
      <c r="B155" s="80">
        <v>9617.15</v>
      </c>
      <c r="C155" s="527">
        <v>0</v>
      </c>
      <c r="D155" s="555">
        <v>0</v>
      </c>
      <c r="E155" s="81"/>
      <c r="F155" s="443">
        <v>0</v>
      </c>
      <c r="G155" s="498">
        <v>0</v>
      </c>
      <c r="H155" s="219" t="s">
        <v>215</v>
      </c>
      <c r="I155" s="84"/>
      <c r="J155" s="99"/>
    </row>
    <row r="156" spans="1:10" s="99" customFormat="1" hidden="1">
      <c r="A156" s="150" t="s">
        <v>433</v>
      </c>
      <c r="B156" s="139">
        <v>8667.08</v>
      </c>
      <c r="C156" s="539">
        <v>14459</v>
      </c>
      <c r="D156" s="566">
        <v>0</v>
      </c>
      <c r="E156" s="140"/>
      <c r="F156" s="451">
        <v>20000</v>
      </c>
      <c r="G156" s="513">
        <v>20000</v>
      </c>
      <c r="H156" s="235" t="s">
        <v>215</v>
      </c>
      <c r="I156" s="194" t="s">
        <v>443</v>
      </c>
    </row>
    <row r="157" spans="1:10" s="99" customFormat="1" hidden="1">
      <c r="A157" s="100" t="s">
        <v>434</v>
      </c>
      <c r="B157" s="85">
        <v>13377</v>
      </c>
      <c r="C157" s="530">
        <v>10073</v>
      </c>
      <c r="D157" s="561">
        <v>3580</v>
      </c>
      <c r="E157" s="114"/>
      <c r="F157" s="443">
        <v>20000</v>
      </c>
      <c r="G157" s="498">
        <v>20000</v>
      </c>
      <c r="H157" s="219" t="s">
        <v>215</v>
      </c>
      <c r="I157" s="84"/>
    </row>
    <row r="158" spans="1:10" hidden="1">
      <c r="A158" s="100" t="s">
        <v>435</v>
      </c>
      <c r="B158" s="80">
        <v>32688.27</v>
      </c>
      <c r="C158" s="527">
        <v>19080</v>
      </c>
      <c r="D158" s="555">
        <v>6360</v>
      </c>
      <c r="E158" s="81"/>
      <c r="F158" s="443">
        <v>30000</v>
      </c>
      <c r="G158" s="498">
        <v>30000</v>
      </c>
      <c r="H158" s="219">
        <v>2845</v>
      </c>
      <c r="I158" s="84" t="s">
        <v>444</v>
      </c>
      <c r="J158" s="99"/>
    </row>
    <row r="159" spans="1:10" hidden="1">
      <c r="A159" s="100" t="s">
        <v>436</v>
      </c>
      <c r="B159" s="80">
        <v>9904.31</v>
      </c>
      <c r="C159" s="527">
        <v>10172</v>
      </c>
      <c r="D159" s="555">
        <v>0</v>
      </c>
      <c r="E159" s="81"/>
      <c r="F159" s="443">
        <v>10000</v>
      </c>
      <c r="G159" s="498">
        <v>10000</v>
      </c>
      <c r="H159" s="222">
        <v>2200</v>
      </c>
      <c r="I159" s="84" t="s">
        <v>445</v>
      </c>
      <c r="J159" s="99"/>
    </row>
    <row r="160" spans="1:10" hidden="1">
      <c r="A160" s="100" t="s">
        <v>437</v>
      </c>
      <c r="B160" s="80">
        <v>5682.8</v>
      </c>
      <c r="C160" s="527">
        <v>6259</v>
      </c>
      <c r="D160" s="555">
        <v>1981.51</v>
      </c>
      <c r="E160" s="81"/>
      <c r="F160" s="443">
        <v>8000</v>
      </c>
      <c r="G160" s="498">
        <v>8000</v>
      </c>
      <c r="H160" s="219">
        <v>2845</v>
      </c>
      <c r="I160" s="84"/>
      <c r="J160" s="99"/>
    </row>
    <row r="161" spans="1:10" hidden="1">
      <c r="A161" s="100" t="s">
        <v>438</v>
      </c>
      <c r="B161" s="80">
        <v>319.88</v>
      </c>
      <c r="C161" s="527">
        <v>249</v>
      </c>
      <c r="D161" s="555">
        <v>129.96</v>
      </c>
      <c r="E161" s="81"/>
      <c r="F161" s="443">
        <v>500</v>
      </c>
      <c r="G161" s="498">
        <v>500</v>
      </c>
      <c r="H161" s="219">
        <v>2845</v>
      </c>
      <c r="I161" s="84"/>
      <c r="J161" s="99"/>
    </row>
    <row r="162" spans="1:10" hidden="1">
      <c r="A162" s="100" t="s">
        <v>439</v>
      </c>
      <c r="B162" s="80">
        <v>9787.7099999999991</v>
      </c>
      <c r="C162" s="527">
        <v>8703</v>
      </c>
      <c r="D162" s="555">
        <v>0</v>
      </c>
      <c r="E162" s="81"/>
      <c r="F162" s="443">
        <v>20000</v>
      </c>
      <c r="G162" s="498">
        <v>20000</v>
      </c>
      <c r="H162" s="222">
        <v>2200</v>
      </c>
      <c r="I162" s="84"/>
      <c r="J162" s="99"/>
    </row>
    <row r="163" spans="1:10" hidden="1">
      <c r="A163" s="100" t="s">
        <v>440</v>
      </c>
      <c r="B163" s="80">
        <v>551.30999999999995</v>
      </c>
      <c r="C163" s="527">
        <v>0</v>
      </c>
      <c r="D163" s="555">
        <v>450</v>
      </c>
      <c r="E163" s="81"/>
      <c r="F163" s="443">
        <v>0</v>
      </c>
      <c r="G163" s="498">
        <v>0</v>
      </c>
      <c r="H163" s="222">
        <v>2200</v>
      </c>
      <c r="I163" s="84"/>
      <c r="J163" s="99"/>
    </row>
    <row r="164" spans="1:10" hidden="1">
      <c r="A164" s="100" t="s">
        <v>441</v>
      </c>
      <c r="B164" s="80">
        <v>46837.65</v>
      </c>
      <c r="C164" s="527">
        <v>35808</v>
      </c>
      <c r="D164" s="555">
        <v>20227.509999999998</v>
      </c>
      <c r="E164" s="81"/>
      <c r="F164" s="443">
        <v>55000</v>
      </c>
      <c r="G164" s="498">
        <v>55000</v>
      </c>
      <c r="H164" s="219" t="s">
        <v>107</v>
      </c>
      <c r="I164" s="84" t="s">
        <v>455</v>
      </c>
      <c r="J164" s="99"/>
    </row>
    <row r="165" spans="1:10" hidden="1">
      <c r="A165" s="151" t="s">
        <v>141</v>
      </c>
      <c r="B165" s="152">
        <v>26333.4</v>
      </c>
      <c r="C165" s="543">
        <v>17535</v>
      </c>
      <c r="D165" s="569">
        <v>8658.2800000000007</v>
      </c>
      <c r="E165" s="153"/>
      <c r="F165" s="443">
        <v>25000</v>
      </c>
      <c r="G165" s="498">
        <v>25000</v>
      </c>
      <c r="H165" s="219">
        <v>2410</v>
      </c>
      <c r="I165" s="84" t="s">
        <v>477</v>
      </c>
      <c r="J165" s="99"/>
    </row>
    <row r="166" spans="1:10" hidden="1">
      <c r="A166" s="151" t="s">
        <v>421</v>
      </c>
      <c r="B166" s="152">
        <v>2667</v>
      </c>
      <c r="C166" s="543">
        <v>0</v>
      </c>
      <c r="D166" s="569">
        <v>13248.78</v>
      </c>
      <c r="E166" s="153"/>
      <c r="F166" s="443">
        <v>4000</v>
      </c>
      <c r="G166" s="498">
        <v>15000</v>
      </c>
      <c r="H166" s="219">
        <v>3100</v>
      </c>
      <c r="I166" s="84" t="s">
        <v>678</v>
      </c>
      <c r="J166" s="99"/>
    </row>
    <row r="167" spans="1:10" ht="16" hidden="1" thickBot="1">
      <c r="A167" s="154" t="s">
        <v>422</v>
      </c>
      <c r="B167" s="155">
        <v>391453.92</v>
      </c>
      <c r="C167" s="544">
        <v>126882</v>
      </c>
      <c r="D167" s="568">
        <v>31164</v>
      </c>
      <c r="E167" s="149"/>
      <c r="F167" s="454">
        <v>140000</v>
      </c>
      <c r="G167" s="516">
        <f>318*G3</f>
        <v>127200</v>
      </c>
      <c r="H167" s="238" t="s">
        <v>217</v>
      </c>
      <c r="I167" s="197" t="s">
        <v>668</v>
      </c>
      <c r="J167" s="99"/>
    </row>
    <row r="168" spans="1:10" s="64" customFormat="1" ht="16">
      <c r="A168" s="135" t="s">
        <v>46</v>
      </c>
      <c r="B168" s="136">
        <f>SUM(B153:B167)</f>
        <v>610317.46</v>
      </c>
      <c r="C168" s="136">
        <f t="shared" ref="C168:G168" si="4">SUM(C153:C167)</f>
        <v>309678</v>
      </c>
      <c r="D168" s="136">
        <f t="shared" si="4"/>
        <v>85800.04</v>
      </c>
      <c r="E168" s="479">
        <f>Table132[[#This Row],[FY25 Actuals through 9/30/24]]/F168</f>
        <v>0.2158491572327044</v>
      </c>
      <c r="F168" s="136">
        <f t="shared" si="4"/>
        <v>397500</v>
      </c>
      <c r="G168" s="512">
        <f t="shared" si="4"/>
        <v>395700</v>
      </c>
      <c r="H168" s="234"/>
      <c r="I168" s="193"/>
      <c r="J168" s="63"/>
    </row>
    <row r="169" spans="1:10">
      <c r="A169" s="75" t="s">
        <v>47</v>
      </c>
      <c r="B169" s="94"/>
      <c r="C169" s="460"/>
      <c r="D169" s="557"/>
      <c r="E169" s="457"/>
      <c r="F169" s="445"/>
      <c r="G169" s="501"/>
      <c r="H169" s="222"/>
      <c r="I169" s="84"/>
      <c r="J169" s="99"/>
    </row>
    <row r="170" spans="1:10" hidden="1">
      <c r="A170" s="75" t="s">
        <v>48</v>
      </c>
      <c r="B170" s="80">
        <v>16261.17</v>
      </c>
      <c r="C170" s="527">
        <v>8782</v>
      </c>
      <c r="D170" s="555">
        <v>11465.59</v>
      </c>
      <c r="E170" s="81"/>
      <c r="F170" s="443">
        <v>20000</v>
      </c>
      <c r="G170" s="498">
        <v>20000</v>
      </c>
      <c r="H170" s="219" t="s">
        <v>124</v>
      </c>
      <c r="I170" s="156"/>
      <c r="J170" s="99"/>
    </row>
    <row r="171" spans="1:10" hidden="1">
      <c r="A171" s="75" t="s">
        <v>140</v>
      </c>
      <c r="B171" s="80">
        <v>23475.88</v>
      </c>
      <c r="C171" s="527">
        <v>31542</v>
      </c>
      <c r="D171" s="555">
        <v>9257.43</v>
      </c>
      <c r="E171" s="81"/>
      <c r="F171" s="443">
        <v>35000</v>
      </c>
      <c r="G171" s="498">
        <v>30000</v>
      </c>
      <c r="H171" s="219" t="s">
        <v>124</v>
      </c>
      <c r="I171" s="156"/>
      <c r="J171" s="99"/>
    </row>
    <row r="172" spans="1:10" hidden="1">
      <c r="A172" s="75" t="s">
        <v>49</v>
      </c>
      <c r="B172" s="80">
        <v>6726.24</v>
      </c>
      <c r="C172" s="527">
        <v>10173</v>
      </c>
      <c r="D172" s="555">
        <v>4271.33</v>
      </c>
      <c r="E172" s="81"/>
      <c r="F172" s="443">
        <v>15000</v>
      </c>
      <c r="G172" s="498">
        <v>15000</v>
      </c>
      <c r="H172" s="219" t="s">
        <v>107</v>
      </c>
      <c r="I172" s="156"/>
      <c r="J172" s="99"/>
    </row>
    <row r="173" spans="1:10" hidden="1">
      <c r="A173" s="75" t="s">
        <v>50</v>
      </c>
      <c r="B173" s="80">
        <v>0</v>
      </c>
      <c r="C173" s="527">
        <v>0</v>
      </c>
      <c r="D173" s="555">
        <v>0</v>
      </c>
      <c r="E173" s="81"/>
      <c r="F173" s="443">
        <v>500</v>
      </c>
      <c r="G173" s="498">
        <v>500</v>
      </c>
      <c r="H173" s="219" t="s">
        <v>218</v>
      </c>
      <c r="I173" s="156"/>
      <c r="J173" s="99"/>
    </row>
    <row r="174" spans="1:10" hidden="1">
      <c r="A174" s="75" t="s">
        <v>51</v>
      </c>
      <c r="B174" s="80">
        <v>431.8</v>
      </c>
      <c r="C174" s="527">
        <v>1019</v>
      </c>
      <c r="D174" s="555">
        <v>14.47</v>
      </c>
      <c r="E174" s="81"/>
      <c r="F174" s="443">
        <v>1200</v>
      </c>
      <c r="G174" s="498">
        <v>1200</v>
      </c>
      <c r="H174" s="219" t="s">
        <v>124</v>
      </c>
      <c r="I174" s="156"/>
      <c r="J174" s="99"/>
    </row>
    <row r="175" spans="1:10" hidden="1">
      <c r="A175" s="75" t="s">
        <v>52</v>
      </c>
      <c r="B175" s="80">
        <v>2503.8200000000002</v>
      </c>
      <c r="C175" s="527">
        <v>2355</v>
      </c>
      <c r="D175" s="555">
        <v>629.08000000000004</v>
      </c>
      <c r="E175" s="81"/>
      <c r="F175" s="443">
        <v>2100</v>
      </c>
      <c r="G175" s="498">
        <v>2100</v>
      </c>
      <c r="H175" s="219" t="s">
        <v>102</v>
      </c>
      <c r="I175" s="156"/>
      <c r="J175" s="99"/>
    </row>
    <row r="176" spans="1:10" hidden="1">
      <c r="A176" s="75" t="s">
        <v>53</v>
      </c>
      <c r="B176" s="80">
        <v>1516.91</v>
      </c>
      <c r="C176" s="527">
        <v>2278</v>
      </c>
      <c r="D176" s="555">
        <v>548.49</v>
      </c>
      <c r="E176" s="81"/>
      <c r="F176" s="443">
        <v>2000</v>
      </c>
      <c r="G176" s="498">
        <v>2000</v>
      </c>
      <c r="H176" s="219" t="s">
        <v>102</v>
      </c>
      <c r="I176" s="156"/>
      <c r="J176" s="99"/>
    </row>
    <row r="177" spans="1:10" hidden="1">
      <c r="A177" s="75" t="s">
        <v>54</v>
      </c>
      <c r="B177" s="80">
        <v>13516.87</v>
      </c>
      <c r="C177" s="527">
        <v>23052</v>
      </c>
      <c r="D177" s="555">
        <v>6642.18</v>
      </c>
      <c r="E177" s="81"/>
      <c r="F177" s="443">
        <v>20000</v>
      </c>
      <c r="G177" s="498">
        <v>22000</v>
      </c>
      <c r="H177" s="219" t="s">
        <v>107</v>
      </c>
      <c r="I177" s="156"/>
      <c r="J177" s="99"/>
    </row>
    <row r="178" spans="1:10" hidden="1">
      <c r="A178" s="75" t="s">
        <v>55</v>
      </c>
      <c r="B178" s="80">
        <v>4047.27</v>
      </c>
      <c r="C178" s="527">
        <v>5837</v>
      </c>
      <c r="D178" s="555">
        <v>1384.48</v>
      </c>
      <c r="E178" s="81"/>
      <c r="F178" s="443">
        <v>7000</v>
      </c>
      <c r="G178" s="498">
        <v>7000</v>
      </c>
      <c r="H178" s="219" t="s">
        <v>107</v>
      </c>
      <c r="I178" s="156"/>
      <c r="J178" s="99"/>
    </row>
    <row r="179" spans="1:10" hidden="1">
      <c r="A179" s="75" t="s">
        <v>56</v>
      </c>
      <c r="B179" s="80">
        <v>701.26</v>
      </c>
      <c r="C179" s="527">
        <v>632</v>
      </c>
      <c r="D179" s="555">
        <v>0</v>
      </c>
      <c r="E179" s="81"/>
      <c r="F179" s="443">
        <v>1000</v>
      </c>
      <c r="G179" s="498">
        <v>1000</v>
      </c>
      <c r="H179" s="219" t="s">
        <v>102</v>
      </c>
      <c r="I179" s="156"/>
      <c r="J179" s="99"/>
    </row>
    <row r="180" spans="1:10" hidden="1">
      <c r="A180" s="98" t="s">
        <v>511</v>
      </c>
      <c r="B180" s="80">
        <v>0</v>
      </c>
      <c r="C180" s="527">
        <v>2058</v>
      </c>
      <c r="D180" s="555">
        <v>0</v>
      </c>
      <c r="E180" s="81"/>
      <c r="F180" s="443">
        <v>2000</v>
      </c>
      <c r="G180" s="498">
        <v>2000</v>
      </c>
      <c r="H180" s="219" t="s">
        <v>102</v>
      </c>
      <c r="I180" s="156"/>
      <c r="J180" s="99"/>
    </row>
    <row r="181" spans="1:10" hidden="1">
      <c r="A181" s="75" t="s">
        <v>540</v>
      </c>
      <c r="B181" s="80">
        <f>310.27+127.61</f>
        <v>437.88</v>
      </c>
      <c r="C181" s="527">
        <v>709</v>
      </c>
      <c r="D181" s="555">
        <v>402.09</v>
      </c>
      <c r="E181" s="81"/>
      <c r="F181" s="443">
        <v>1000</v>
      </c>
      <c r="G181" s="498">
        <v>1000</v>
      </c>
      <c r="H181" s="219" t="s">
        <v>219</v>
      </c>
      <c r="I181" s="156"/>
      <c r="J181" s="99"/>
    </row>
    <row r="182" spans="1:10" hidden="1">
      <c r="A182" s="75" t="s">
        <v>57</v>
      </c>
      <c r="B182" s="80">
        <v>0</v>
      </c>
      <c r="C182" s="527">
        <v>0</v>
      </c>
      <c r="D182" s="555">
        <v>246.92</v>
      </c>
      <c r="E182" s="81"/>
      <c r="F182" s="443">
        <v>0</v>
      </c>
      <c r="G182" s="498">
        <v>0</v>
      </c>
      <c r="H182" s="219" t="s">
        <v>107</v>
      </c>
      <c r="I182" s="156"/>
      <c r="J182" s="99"/>
    </row>
    <row r="183" spans="1:10" hidden="1">
      <c r="A183" s="145" t="s">
        <v>58</v>
      </c>
      <c r="B183" s="146">
        <v>11052.9</v>
      </c>
      <c r="C183" s="541">
        <v>14580</v>
      </c>
      <c r="D183" s="562">
        <v>3248.81</v>
      </c>
      <c r="E183" s="119"/>
      <c r="F183" s="453">
        <v>25000</v>
      </c>
      <c r="G183" s="515">
        <v>20000</v>
      </c>
      <c r="H183" s="237" t="s">
        <v>116</v>
      </c>
      <c r="I183" s="198"/>
      <c r="J183" s="99"/>
    </row>
    <row r="184" spans="1:10" hidden="1">
      <c r="A184" s="145" t="s">
        <v>59</v>
      </c>
      <c r="B184" s="146">
        <v>4720.87</v>
      </c>
      <c r="C184" s="541">
        <v>5066</v>
      </c>
      <c r="D184" s="562">
        <v>722.93</v>
      </c>
      <c r="E184" s="119"/>
      <c r="F184" s="453">
        <v>0</v>
      </c>
      <c r="G184" s="515">
        <v>0</v>
      </c>
      <c r="H184" s="237" t="s">
        <v>116</v>
      </c>
      <c r="I184" s="198"/>
      <c r="J184" s="99"/>
    </row>
    <row r="185" spans="1:10" hidden="1">
      <c r="A185" s="98" t="s">
        <v>510</v>
      </c>
      <c r="B185" s="80">
        <v>0</v>
      </c>
      <c r="C185" s="527">
        <v>0</v>
      </c>
      <c r="D185" s="555">
        <v>803.42</v>
      </c>
      <c r="E185" s="81"/>
      <c r="F185" s="443">
        <v>5000</v>
      </c>
      <c r="G185" s="498">
        <v>5000</v>
      </c>
      <c r="H185" s="219">
        <v>1700</v>
      </c>
      <c r="I185" s="134" t="s">
        <v>496</v>
      </c>
      <c r="J185" s="99"/>
    </row>
    <row r="186" spans="1:10" hidden="1">
      <c r="A186" s="75" t="s">
        <v>60</v>
      </c>
      <c r="B186" s="80">
        <v>12646.68</v>
      </c>
      <c r="C186" s="527">
        <v>8158</v>
      </c>
      <c r="D186" s="555">
        <v>666.99</v>
      </c>
      <c r="E186" s="81"/>
      <c r="F186" s="443">
        <v>20000</v>
      </c>
      <c r="G186" s="498">
        <v>15000</v>
      </c>
      <c r="H186" s="219" t="s">
        <v>116</v>
      </c>
      <c r="I186" s="156"/>
      <c r="J186" s="99"/>
    </row>
    <row r="187" spans="1:10" hidden="1">
      <c r="A187" s="75" t="s">
        <v>61</v>
      </c>
      <c r="B187" s="80">
        <v>19326</v>
      </c>
      <c r="C187" s="527">
        <v>17288</v>
      </c>
      <c r="D187" s="555">
        <v>4735</v>
      </c>
      <c r="E187" s="81"/>
      <c r="F187" s="443">
        <v>25000</v>
      </c>
      <c r="G187" s="498">
        <v>21000</v>
      </c>
      <c r="H187" s="219" t="s">
        <v>116</v>
      </c>
      <c r="I187" s="156"/>
      <c r="J187" s="99"/>
    </row>
    <row r="188" spans="1:10" hidden="1">
      <c r="A188" s="157" t="s">
        <v>512</v>
      </c>
      <c r="B188" s="80">
        <v>42.55</v>
      </c>
      <c r="C188" s="527">
        <v>0</v>
      </c>
      <c r="D188" s="555">
        <v>205.13</v>
      </c>
      <c r="E188" s="81"/>
      <c r="F188" s="443">
        <v>2500</v>
      </c>
      <c r="G188" s="498">
        <v>0</v>
      </c>
      <c r="H188" s="219" t="s">
        <v>130</v>
      </c>
      <c r="I188" s="156"/>
      <c r="J188" s="99"/>
    </row>
    <row r="189" spans="1:10" hidden="1">
      <c r="A189" s="75" t="s">
        <v>62</v>
      </c>
      <c r="B189" s="80">
        <v>580.20000000000005</v>
      </c>
      <c r="C189" s="527">
        <v>0</v>
      </c>
      <c r="D189" s="555">
        <v>17742.25</v>
      </c>
      <c r="E189" s="81"/>
      <c r="F189" s="443">
        <v>10000</v>
      </c>
      <c r="G189" s="498">
        <v>20000</v>
      </c>
      <c r="H189" s="219" t="s">
        <v>124</v>
      </c>
      <c r="I189" s="156"/>
      <c r="J189" s="99"/>
    </row>
    <row r="190" spans="1:10" ht="16" hidden="1" thickBot="1">
      <c r="A190" s="86" t="s">
        <v>652</v>
      </c>
      <c r="B190" s="87">
        <v>14774.7</v>
      </c>
      <c r="C190" s="531">
        <f>297+19547</f>
        <v>19844</v>
      </c>
      <c r="D190" s="556">
        <v>16406.34</v>
      </c>
      <c r="E190" s="88"/>
      <c r="F190" s="444">
        <v>35000</v>
      </c>
      <c r="G190" s="499">
        <v>25000</v>
      </c>
      <c r="H190" s="220" t="s">
        <v>124</v>
      </c>
      <c r="I190" s="158" t="s">
        <v>520</v>
      </c>
      <c r="J190" s="99"/>
    </row>
    <row r="191" spans="1:10" s="64" customFormat="1" ht="16">
      <c r="A191" s="135" t="s">
        <v>63</v>
      </c>
      <c r="B191" s="136">
        <f>SUM(B170:B190)</f>
        <v>132763</v>
      </c>
      <c r="C191" s="136">
        <f t="shared" ref="C191:F191" si="5">SUM(C170:C190)</f>
        <v>153373</v>
      </c>
      <c r="D191" s="136">
        <f t="shared" si="5"/>
        <v>79392.929999999993</v>
      </c>
      <c r="E191" s="479">
        <f>Table132[[#This Row],[FY25 Actuals through 9/30/24]]/F191</f>
        <v>0.34624042738770167</v>
      </c>
      <c r="F191" s="136">
        <f t="shared" si="5"/>
        <v>229300</v>
      </c>
      <c r="G191" s="512">
        <f t="shared" ref="G191" si="6">SUM(G170:G190)</f>
        <v>209800</v>
      </c>
      <c r="H191" s="234"/>
      <c r="I191" s="193"/>
      <c r="J191" s="63"/>
    </row>
    <row r="192" spans="1:10">
      <c r="A192" s="75" t="s">
        <v>64</v>
      </c>
      <c r="B192" s="94"/>
      <c r="C192" s="460"/>
      <c r="D192" s="555"/>
      <c r="E192" s="457"/>
      <c r="F192" s="445"/>
      <c r="G192" s="501"/>
      <c r="H192" s="222"/>
      <c r="I192" s="84"/>
      <c r="J192" s="99"/>
    </row>
    <row r="193" spans="1:10" hidden="1">
      <c r="A193" s="151" t="s">
        <v>423</v>
      </c>
      <c r="B193" s="469">
        <v>10151</v>
      </c>
      <c r="C193" s="545">
        <v>26225</v>
      </c>
      <c r="D193" s="561">
        <v>0</v>
      </c>
      <c r="E193" s="114"/>
      <c r="F193" s="470">
        <v>25000</v>
      </c>
      <c r="G193" s="517">
        <v>25000</v>
      </c>
      <c r="H193" s="219" t="s">
        <v>427</v>
      </c>
      <c r="I193" s="84"/>
      <c r="J193" s="99"/>
    </row>
    <row r="194" spans="1:10" hidden="1">
      <c r="A194" s="151" t="s">
        <v>424</v>
      </c>
      <c r="B194" s="469">
        <v>0</v>
      </c>
      <c r="C194" s="545">
        <v>0</v>
      </c>
      <c r="D194" s="561">
        <v>0</v>
      </c>
      <c r="E194" s="114"/>
      <c r="F194" s="445">
        <v>10000</v>
      </c>
      <c r="G194" s="501">
        <v>0</v>
      </c>
      <c r="H194" s="219" t="s">
        <v>116</v>
      </c>
      <c r="I194" s="84"/>
      <c r="J194" s="99"/>
    </row>
    <row r="195" spans="1:10" hidden="1">
      <c r="A195" s="100" t="s">
        <v>513</v>
      </c>
      <c r="B195" s="80">
        <v>0</v>
      </c>
      <c r="C195" s="527">
        <v>0</v>
      </c>
      <c r="D195" s="555">
        <v>0</v>
      </c>
      <c r="E195" s="81"/>
      <c r="F195" s="443">
        <v>0</v>
      </c>
      <c r="G195" s="498">
        <v>10000</v>
      </c>
      <c r="H195" s="219">
        <v>2900</v>
      </c>
      <c r="I195" s="84"/>
      <c r="J195" s="99"/>
    </row>
    <row r="196" spans="1:10" hidden="1">
      <c r="A196" s="100" t="s">
        <v>428</v>
      </c>
      <c r="B196" s="80">
        <v>7973.21</v>
      </c>
      <c r="C196" s="527">
        <v>24286</v>
      </c>
      <c r="D196" s="555">
        <v>48240.24</v>
      </c>
      <c r="E196" s="81"/>
      <c r="F196" s="443">
        <v>40000</v>
      </c>
      <c r="G196" s="498">
        <v>75000</v>
      </c>
      <c r="H196" s="219" t="s">
        <v>124</v>
      </c>
      <c r="I196" s="84"/>
      <c r="J196" s="99"/>
    </row>
    <row r="197" spans="1:10" hidden="1">
      <c r="A197" s="100" t="s">
        <v>425</v>
      </c>
      <c r="B197" s="85">
        <v>17476.650000000001</v>
      </c>
      <c r="C197" s="530">
        <v>0</v>
      </c>
      <c r="D197" s="555">
        <v>2995</v>
      </c>
      <c r="E197" s="81"/>
      <c r="F197" s="443">
        <v>35000</v>
      </c>
      <c r="G197" s="498">
        <v>20000</v>
      </c>
      <c r="H197" s="219" t="s">
        <v>107</v>
      </c>
      <c r="I197" s="84"/>
      <c r="J197" s="99"/>
    </row>
    <row r="198" spans="1:10" ht="16" hidden="1" thickBot="1">
      <c r="A198" s="103" t="s">
        <v>426</v>
      </c>
      <c r="B198" s="87">
        <f>20475.37-0.49</f>
        <v>20474.879999999997</v>
      </c>
      <c r="C198" s="531">
        <v>10605</v>
      </c>
      <c r="D198" s="556">
        <v>2295.0700000000002</v>
      </c>
      <c r="E198" s="88"/>
      <c r="F198" s="444">
        <v>21000</v>
      </c>
      <c r="G198" s="499">
        <v>12000</v>
      </c>
      <c r="H198" s="220" t="s">
        <v>107</v>
      </c>
      <c r="I198" s="89"/>
      <c r="J198" s="99"/>
    </row>
    <row r="199" spans="1:10" s="64" customFormat="1" ht="16">
      <c r="A199" s="135" t="s">
        <v>65</v>
      </c>
      <c r="B199" s="159">
        <f>SUM(B193:B198)</f>
        <v>56075.74</v>
      </c>
      <c r="C199" s="159">
        <f t="shared" ref="C199:G199" si="7">SUM(C193:C198)</f>
        <v>61116</v>
      </c>
      <c r="D199" s="159">
        <f t="shared" si="7"/>
        <v>53530.31</v>
      </c>
      <c r="E199" s="484">
        <f>Table132[[#This Row],[FY25 Actuals through 9/30/24]]/F199</f>
        <v>0.40862832061068699</v>
      </c>
      <c r="F199" s="159">
        <f t="shared" si="7"/>
        <v>131000</v>
      </c>
      <c r="G199" s="518">
        <f t="shared" si="7"/>
        <v>142000</v>
      </c>
      <c r="H199" s="239"/>
      <c r="I199" s="199"/>
      <c r="J199" s="63"/>
    </row>
    <row r="200" spans="1:10" ht="16" thickBot="1">
      <c r="A200" s="75" t="s">
        <v>66</v>
      </c>
      <c r="B200" s="94"/>
      <c r="C200" s="460"/>
      <c r="D200" s="557"/>
      <c r="E200" s="457"/>
      <c r="F200" s="445"/>
      <c r="G200" s="501"/>
      <c r="H200" s="222"/>
      <c r="I200" s="84"/>
      <c r="J200" s="99"/>
    </row>
    <row r="201" spans="1:10" hidden="1">
      <c r="A201" s="100" t="s">
        <v>429</v>
      </c>
      <c r="B201" s="80">
        <v>21590.41</v>
      </c>
      <c r="C201" s="527">
        <v>38547.35</v>
      </c>
      <c r="D201" s="555">
        <v>8282.83</v>
      </c>
      <c r="E201" s="81"/>
      <c r="F201" s="445">
        <v>2500</v>
      </c>
      <c r="G201" s="501">
        <v>25000</v>
      </c>
      <c r="H201" s="222">
        <v>2410</v>
      </c>
      <c r="I201" s="84"/>
      <c r="J201" s="99"/>
    </row>
    <row r="202" spans="1:10" hidden="1">
      <c r="A202" s="100" t="s">
        <v>654</v>
      </c>
      <c r="B202" s="455"/>
      <c r="C202" s="527">
        <v>383140.6</v>
      </c>
      <c r="D202" s="555"/>
      <c r="E202" s="81" t="e">
        <f>Table132[[#This Row],[FY25 Actuals through 9/30/24]]/F202</f>
        <v>#DIV/0!</v>
      </c>
      <c r="F202" s="445"/>
      <c r="G202" s="501">
        <v>0</v>
      </c>
      <c r="H202" s="222"/>
      <c r="I202" s="84" t="s">
        <v>655</v>
      </c>
      <c r="J202" s="99"/>
    </row>
    <row r="203" spans="1:10" ht="16" hidden="1" thickBot="1">
      <c r="A203" s="103" t="s">
        <v>430</v>
      </c>
      <c r="B203" s="80">
        <v>9565</v>
      </c>
      <c r="C203" s="527">
        <v>0</v>
      </c>
      <c r="D203" s="556">
        <v>340</v>
      </c>
      <c r="E203" s="88"/>
      <c r="F203" s="444">
        <v>0</v>
      </c>
      <c r="G203" s="499">
        <f>1000</f>
        <v>1000</v>
      </c>
      <c r="H203" s="220" t="s">
        <v>88</v>
      </c>
      <c r="I203" s="89" t="s">
        <v>679</v>
      </c>
      <c r="J203" s="99"/>
    </row>
    <row r="204" spans="1:10" s="64" customFormat="1" ht="17" thickBot="1">
      <c r="A204" s="160" t="s">
        <v>67</v>
      </c>
      <c r="B204" s="161">
        <f>SUM(B201:B203)</f>
        <v>31155.41</v>
      </c>
      <c r="C204" s="161">
        <f t="shared" ref="C204:G204" si="8">SUM(C201:C203)</f>
        <v>421687.94999999995</v>
      </c>
      <c r="D204" s="161">
        <f t="shared" si="8"/>
        <v>8622.83</v>
      </c>
      <c r="E204" s="483">
        <f>Table132[[#This Row],[FY25 Actuals through 9/30/24]]/F204</f>
        <v>3.4491320000000001</v>
      </c>
      <c r="F204" s="161">
        <f t="shared" si="8"/>
        <v>2500</v>
      </c>
      <c r="G204" s="519">
        <f t="shared" si="8"/>
        <v>26000</v>
      </c>
      <c r="H204" s="240"/>
      <c r="I204" s="200"/>
      <c r="J204" s="63"/>
    </row>
    <row r="205" spans="1:10" s="64" customFormat="1">
      <c r="A205" s="163" t="s">
        <v>68</v>
      </c>
      <c r="B205" s="201">
        <f>B62+B124+B144+B152+B168+B191+B199+B204</f>
        <v>4161976.7</v>
      </c>
      <c r="C205" s="201">
        <f>C62+C124+C144+C152+C168+C191+C199+C204</f>
        <v>5044388.0000000009</v>
      </c>
      <c r="D205" s="201">
        <f>D62+D124+D144+D152+D168+D191+D199+D204</f>
        <v>1194875.4200000002</v>
      </c>
      <c r="E205" s="486">
        <f>Table132[[#This Row],[FY25 Actuals through 9/30/24]]/F205</f>
        <v>0.23734881737312286</v>
      </c>
      <c r="F205" s="201">
        <f>F62+F124+F144+F152+F168+F191+F199+F204</f>
        <v>5034259</v>
      </c>
      <c r="G205" s="520">
        <f>G62+G124+G144+G152+G168+G191+G199+G204</f>
        <v>5402168.0844149999</v>
      </c>
      <c r="H205" s="241"/>
      <c r="I205" s="162"/>
      <c r="J205" s="63"/>
    </row>
    <row r="206" spans="1:10" s="64" customFormat="1">
      <c r="A206" s="163"/>
      <c r="B206" s="164"/>
      <c r="C206" s="546"/>
      <c r="D206" s="165"/>
      <c r="E206" s="165"/>
      <c r="F206" s="445"/>
      <c r="G206" s="501"/>
      <c r="H206" s="242"/>
      <c r="I206" s="137"/>
      <c r="J206" s="63"/>
    </row>
    <row r="207" spans="1:10" s="64" customFormat="1" ht="17" thickBot="1">
      <c r="A207" s="268" t="s">
        <v>390</v>
      </c>
      <c r="B207" s="269">
        <f>B42-B205</f>
        <v>283506.88999999966</v>
      </c>
      <c r="C207" s="269">
        <f>C42-C205</f>
        <v>-10458.000000000931</v>
      </c>
      <c r="D207" s="269">
        <f>D42-D205</f>
        <v>197635.71999999997</v>
      </c>
      <c r="E207" s="485"/>
      <c r="F207" s="269">
        <f>F42-F205</f>
        <v>26999</v>
      </c>
      <c r="G207" s="521">
        <f>G42-G205</f>
        <v>38941.205585000105</v>
      </c>
      <c r="H207" s="270"/>
      <c r="I207" s="271"/>
      <c r="J207" s="63"/>
    </row>
    <row r="208" spans="1:10" ht="16" thickTop="1">
      <c r="A208" s="75"/>
      <c r="B208" s="94"/>
      <c r="C208" s="464"/>
      <c r="D208" s="570"/>
      <c r="E208" s="166"/>
      <c r="F208" s="550"/>
      <c r="G208" s="522"/>
      <c r="H208" s="222"/>
      <c r="I208" s="84"/>
    </row>
    <row r="209" spans="1:9" s="99" customFormat="1">
      <c r="A209" s="72" t="s">
        <v>521</v>
      </c>
      <c r="B209" s="80">
        <v>136000</v>
      </c>
      <c r="C209" s="527">
        <v>136000</v>
      </c>
      <c r="D209" s="555">
        <v>136000</v>
      </c>
      <c r="E209" s="81"/>
      <c r="F209" s="81">
        <v>136000</v>
      </c>
      <c r="G209" s="523">
        <v>136000</v>
      </c>
      <c r="H209" s="222"/>
      <c r="I209" s="84"/>
    </row>
    <row r="210" spans="1:9" s="99" customFormat="1">
      <c r="A210" s="72" t="s">
        <v>653</v>
      </c>
      <c r="B210" s="80">
        <v>0</v>
      </c>
      <c r="C210" s="527">
        <v>18186</v>
      </c>
      <c r="D210" s="555">
        <v>0</v>
      </c>
      <c r="E210" s="81"/>
      <c r="F210" s="81">
        <v>0</v>
      </c>
      <c r="G210" s="523">
        <v>0</v>
      </c>
      <c r="H210" s="222"/>
      <c r="I210" s="84"/>
    </row>
    <row r="211" spans="1:9" s="99" customFormat="1">
      <c r="A211" s="72" t="s">
        <v>523</v>
      </c>
      <c r="B211" s="80">
        <f>18735+3066610</f>
        <v>3085345</v>
      </c>
      <c r="C211" s="530">
        <f>3056703</f>
        <v>3056703</v>
      </c>
      <c r="D211" s="561">
        <f>C212-D209+D207</f>
        <v>3272524.7199999997</v>
      </c>
      <c r="E211" s="114"/>
      <c r="F211" s="114">
        <f>C212-F209+F207</f>
        <v>3101888</v>
      </c>
      <c r="G211" s="523">
        <f>C212-G209+G207</f>
        <v>3113830.2055850001</v>
      </c>
      <c r="H211" s="222"/>
      <c r="I211" s="129"/>
    </row>
    <row r="212" spans="1:9" s="63" customFormat="1" ht="16" thickBot="1">
      <c r="A212" s="72" t="s">
        <v>522</v>
      </c>
      <c r="B212" s="487">
        <f>SUM(B209:B211)</f>
        <v>3221345</v>
      </c>
      <c r="C212" s="487">
        <f>SUM(C209:C211)</f>
        <v>3210889</v>
      </c>
      <c r="D212" s="487">
        <f>SUM(D209:D211)</f>
        <v>3408524.7199999997</v>
      </c>
      <c r="E212" s="487"/>
      <c r="F212" s="487">
        <f>SUM(F209:F211)</f>
        <v>3237888</v>
      </c>
      <c r="G212" s="524">
        <f>SUM(G209:G211)</f>
        <v>3249830.2055850001</v>
      </c>
      <c r="H212" s="242"/>
      <c r="I212" s="137"/>
    </row>
    <row r="213" spans="1:9" s="99" customFormat="1" ht="16" thickBot="1">
      <c r="A213" s="75"/>
      <c r="B213" s="94"/>
      <c r="C213" s="460"/>
      <c r="D213" s="570"/>
      <c r="E213" s="166"/>
      <c r="F213" s="551"/>
      <c r="G213" s="522"/>
      <c r="H213" s="222"/>
      <c r="I213" s="84"/>
    </row>
    <row r="214" spans="1:9">
      <c r="A214" s="202" t="s">
        <v>518</v>
      </c>
      <c r="B214" s="167"/>
      <c r="C214" s="461"/>
      <c r="D214" s="571"/>
      <c r="E214" s="458"/>
      <c r="F214" s="552"/>
      <c r="G214" s="525"/>
      <c r="H214" s="243"/>
      <c r="I214" s="168"/>
    </row>
    <row r="215" spans="1:9" s="170" customFormat="1">
      <c r="A215" s="169" t="s">
        <v>495</v>
      </c>
      <c r="B215" s="80"/>
      <c r="C215" s="527">
        <v>302595.48</v>
      </c>
      <c r="D215" s="555">
        <v>50432.58</v>
      </c>
      <c r="E215" s="81"/>
      <c r="F215" s="81">
        <v>302595</v>
      </c>
      <c r="G215" s="523">
        <v>302595</v>
      </c>
      <c r="H215" s="244"/>
      <c r="I215" s="171"/>
    </row>
    <row r="216" spans="1:9" s="170" customFormat="1">
      <c r="A216" s="169" t="s">
        <v>517</v>
      </c>
      <c r="B216" s="80"/>
      <c r="C216" s="527">
        <v>326</v>
      </c>
      <c r="D216" s="555">
        <v>55.73</v>
      </c>
      <c r="E216" s="81"/>
      <c r="F216" s="81">
        <v>300</v>
      </c>
      <c r="G216" s="523">
        <v>300</v>
      </c>
      <c r="H216" s="244"/>
      <c r="I216" s="172"/>
    </row>
    <row r="217" spans="1:9" s="170" customFormat="1">
      <c r="A217" s="169" t="s">
        <v>533</v>
      </c>
      <c r="B217" s="80"/>
      <c r="C217" s="527">
        <v>383140.6</v>
      </c>
      <c r="D217" s="555">
        <v>0</v>
      </c>
      <c r="E217" s="81"/>
      <c r="F217" s="81">
        <v>0</v>
      </c>
      <c r="G217" s="523">
        <v>0</v>
      </c>
      <c r="H217" s="244"/>
      <c r="I217" s="172"/>
    </row>
    <row r="218" spans="1:9" s="170" customFormat="1">
      <c r="A218" s="169" t="s">
        <v>514</v>
      </c>
      <c r="B218" s="80"/>
      <c r="C218" s="527">
        <v>13</v>
      </c>
      <c r="D218" s="555">
        <v>3.85</v>
      </c>
      <c r="E218" s="81"/>
      <c r="F218" s="81">
        <v>10</v>
      </c>
      <c r="G218" s="523">
        <v>10</v>
      </c>
      <c r="H218" s="244"/>
      <c r="I218" s="171"/>
    </row>
    <row r="219" spans="1:9" s="170" customFormat="1">
      <c r="A219" s="169" t="s">
        <v>515</v>
      </c>
      <c r="B219" s="80"/>
      <c r="C219" s="527">
        <v>135605</v>
      </c>
      <c r="D219" s="555">
        <v>11068.69</v>
      </c>
      <c r="E219" s="81"/>
      <c r="F219" s="81">
        <v>136161</v>
      </c>
      <c r="G219" s="523">
        <f>F219</f>
        <v>136161</v>
      </c>
      <c r="H219" s="244"/>
      <c r="I219" s="172"/>
    </row>
    <row r="220" spans="1:9" s="170" customFormat="1">
      <c r="A220" s="169" t="s">
        <v>516</v>
      </c>
      <c r="B220" s="80"/>
      <c r="C220" s="527">
        <v>166990</v>
      </c>
      <c r="D220" s="555">
        <v>14147.6</v>
      </c>
      <c r="E220" s="81"/>
      <c r="F220" s="81">
        <v>166435</v>
      </c>
      <c r="G220" s="523">
        <f>F220</f>
        <v>166435</v>
      </c>
      <c r="H220" s="244"/>
      <c r="I220" s="172"/>
    </row>
    <row r="221" spans="1:9" s="170" customFormat="1" ht="16" thickBot="1">
      <c r="A221" s="169" t="s">
        <v>390</v>
      </c>
      <c r="B221" s="173">
        <f t="shared" ref="B221:F221" si="9">B215+B216+B217-B218-B219-B220</f>
        <v>0</v>
      </c>
      <c r="C221" s="529">
        <f t="shared" si="9"/>
        <v>383454.07999999996</v>
      </c>
      <c r="D221" s="529">
        <f t="shared" si="9"/>
        <v>25268.170000000006</v>
      </c>
      <c r="E221" s="173"/>
      <c r="F221" s="529">
        <f t="shared" si="9"/>
        <v>289</v>
      </c>
      <c r="G221" s="173">
        <f>G215+G216+G217-G218-G219-G220</f>
        <v>289</v>
      </c>
      <c r="H221" s="244"/>
      <c r="I221" s="171"/>
    </row>
    <row r="222" spans="1:9" s="170" customFormat="1">
      <c r="A222" s="169"/>
      <c r="B222" s="80"/>
      <c r="C222" s="459"/>
      <c r="D222" s="557"/>
      <c r="E222" s="457"/>
      <c r="F222" s="551"/>
      <c r="G222" s="522"/>
      <c r="H222" s="244"/>
      <c r="I222" s="172"/>
    </row>
    <row r="223" spans="1:9" s="170" customFormat="1">
      <c r="A223" s="169" t="s">
        <v>524</v>
      </c>
      <c r="B223" s="80">
        <f>25636</f>
        <v>25636</v>
      </c>
      <c r="C223" s="527">
        <v>25949</v>
      </c>
      <c r="D223" s="555">
        <v>0</v>
      </c>
      <c r="E223" s="81"/>
      <c r="F223" s="81">
        <f>C223+F221</f>
        <v>26238</v>
      </c>
      <c r="G223" s="522"/>
      <c r="H223" s="244"/>
      <c r="I223" s="172" t="s">
        <v>541</v>
      </c>
    </row>
    <row r="224" spans="1:9" s="170" customFormat="1" ht="16" thickBot="1">
      <c r="A224" s="174"/>
      <c r="B224" s="175"/>
      <c r="C224" s="462"/>
      <c r="D224" s="572"/>
      <c r="E224" s="176"/>
      <c r="F224" s="553"/>
      <c r="G224" s="526"/>
      <c r="H224" s="245"/>
      <c r="I224" s="177"/>
    </row>
    <row r="225" spans="1:8" s="170" customFormat="1">
      <c r="A225" s="178"/>
      <c r="B225" s="179"/>
      <c r="C225" s="463"/>
      <c r="D225" s="573"/>
      <c r="E225" s="180"/>
      <c r="F225" s="548"/>
      <c r="G225" s="181"/>
      <c r="H225" s="215"/>
    </row>
    <row r="226" spans="1:8" s="170" customFormat="1">
      <c r="A226" s="182"/>
      <c r="B226" s="179"/>
      <c r="C226" s="463"/>
      <c r="D226" s="573"/>
      <c r="E226" s="180"/>
      <c r="F226" s="548"/>
      <c r="G226" s="181"/>
      <c r="H226" s="215"/>
    </row>
  </sheetData>
  <mergeCells count="1">
    <mergeCell ref="B1:E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DD6A-64C0-4B14-89A5-04BCA066DF1E}">
  <dimension ref="A1:AK199"/>
  <sheetViews>
    <sheetView zoomScaleNormal="100" workbookViewId="0">
      <selection activeCell="U3" sqref="U3"/>
    </sheetView>
  </sheetViews>
  <sheetFormatPr baseColWidth="10" defaultColWidth="7.1640625" defaultRowHeight="13"/>
  <cols>
    <col min="1" max="1" width="38.6640625" style="17" customWidth="1"/>
    <col min="2" max="2" width="15.1640625" style="18" customWidth="1"/>
    <col min="3" max="3" width="3.33203125" style="19" hidden="1" customWidth="1"/>
    <col min="4" max="4" width="14.5" style="574" customWidth="1"/>
    <col min="5" max="7" width="14.5" style="19" hidden="1" customWidth="1"/>
    <col min="8" max="8" width="14.5" style="574" customWidth="1"/>
    <col min="9" max="20" width="14.5" style="19" hidden="1" customWidth="1"/>
    <col min="21" max="21" width="14.5" style="574" customWidth="1"/>
    <col min="22" max="29" width="14.5" style="19" hidden="1" customWidth="1"/>
    <col min="30" max="30" width="14.5" style="19" customWidth="1"/>
    <col min="31" max="31" width="7.1640625" style="20"/>
    <col min="32" max="32" width="12.6640625" style="20" bestFit="1" customWidth="1"/>
    <col min="33" max="33" width="10.1640625" style="20" bestFit="1" customWidth="1"/>
    <col min="34" max="34" width="7.1640625" style="20"/>
    <col min="35" max="35" width="12.6640625" style="58" bestFit="1" customWidth="1"/>
    <col min="36" max="36" width="7.1640625" style="20"/>
    <col min="37" max="37" width="12.6640625" style="20" bestFit="1" customWidth="1"/>
    <col min="38" max="16384" width="7.1640625" style="20"/>
  </cols>
  <sheetData>
    <row r="1" spans="1:35" ht="19.75" customHeight="1" thickBot="1">
      <c r="A1" s="25" t="s">
        <v>680</v>
      </c>
    </row>
    <row r="2" spans="1:35" s="25" customFormat="1" ht="113" thickBot="1">
      <c r="A2" s="55" t="s">
        <v>681</v>
      </c>
      <c r="B2" s="21" t="s">
        <v>243</v>
      </c>
      <c r="C2" s="22" t="s">
        <v>244</v>
      </c>
      <c r="D2" s="575" t="s">
        <v>245</v>
      </c>
      <c r="E2" s="23" t="s">
        <v>246</v>
      </c>
      <c r="F2" s="23" t="s">
        <v>247</v>
      </c>
      <c r="G2" s="23" t="s">
        <v>248</v>
      </c>
      <c r="H2" s="575" t="s">
        <v>249</v>
      </c>
      <c r="I2" s="23" t="s">
        <v>250</v>
      </c>
      <c r="J2" s="23" t="s">
        <v>251</v>
      </c>
      <c r="K2" s="23" t="s">
        <v>252</v>
      </c>
      <c r="L2" s="23" t="s">
        <v>253</v>
      </c>
      <c r="M2" s="23" t="s">
        <v>254</v>
      </c>
      <c r="N2" s="23" t="s">
        <v>255</v>
      </c>
      <c r="O2" s="23" t="s">
        <v>256</v>
      </c>
      <c r="P2" s="23" t="s">
        <v>257</v>
      </c>
      <c r="Q2" s="23" t="s">
        <v>258</v>
      </c>
      <c r="R2" s="23" t="s">
        <v>259</v>
      </c>
      <c r="S2" s="23" t="s">
        <v>260</v>
      </c>
      <c r="T2" s="23" t="s">
        <v>261</v>
      </c>
      <c r="U2" s="575" t="s">
        <v>682</v>
      </c>
      <c r="V2" s="23" t="s">
        <v>262</v>
      </c>
      <c r="W2" s="23" t="s">
        <v>263</v>
      </c>
      <c r="X2" s="23" t="s">
        <v>264</v>
      </c>
      <c r="Y2" s="23" t="s">
        <v>265</v>
      </c>
      <c r="Z2" s="23" t="s">
        <v>266</v>
      </c>
      <c r="AA2" s="23" t="s">
        <v>267</v>
      </c>
      <c r="AB2" s="23" t="s">
        <v>268</v>
      </c>
      <c r="AC2" s="23" t="s">
        <v>269</v>
      </c>
      <c r="AD2" s="24" t="s">
        <v>270</v>
      </c>
      <c r="AI2" s="59"/>
    </row>
    <row r="3" spans="1:35" s="25" customFormat="1" ht="28">
      <c r="A3" s="26" t="s">
        <v>271</v>
      </c>
      <c r="B3" s="27"/>
      <c r="C3" s="28">
        <v>0</v>
      </c>
      <c r="D3" s="49">
        <v>3221345</v>
      </c>
      <c r="E3" s="29">
        <v>0</v>
      </c>
      <c r="F3" s="29">
        <v>0</v>
      </c>
      <c r="G3" s="29">
        <v>0</v>
      </c>
      <c r="H3" s="49">
        <v>0</v>
      </c>
      <c r="I3" s="29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0</v>
      </c>
      <c r="S3" s="29">
        <v>0</v>
      </c>
      <c r="T3" s="29">
        <v>0</v>
      </c>
      <c r="U3" s="49">
        <v>25636</v>
      </c>
      <c r="V3" s="29">
        <v>0</v>
      </c>
      <c r="W3" s="29">
        <v>0</v>
      </c>
      <c r="X3" s="29">
        <v>0</v>
      </c>
      <c r="Y3" s="29">
        <v>0</v>
      </c>
      <c r="Z3" s="29">
        <v>0</v>
      </c>
      <c r="AA3" s="29">
        <v>0</v>
      </c>
      <c r="AB3" s="29">
        <v>0</v>
      </c>
      <c r="AC3" s="29">
        <v>0</v>
      </c>
      <c r="AD3" s="30">
        <f>SUM(C3:AC3)</f>
        <v>3246981</v>
      </c>
      <c r="AI3" s="59"/>
    </row>
    <row r="4" spans="1:35" s="25" customFormat="1">
      <c r="A4" s="26"/>
      <c r="B4" s="31"/>
      <c r="C4" s="32"/>
      <c r="D4" s="576"/>
      <c r="E4" s="33"/>
      <c r="F4" s="33"/>
      <c r="G4" s="33"/>
      <c r="H4" s="576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576"/>
      <c r="V4" s="33"/>
      <c r="W4" s="33"/>
      <c r="X4" s="33"/>
      <c r="Y4" s="33"/>
      <c r="Z4" s="33"/>
      <c r="AA4" s="33"/>
      <c r="AB4" s="33"/>
      <c r="AC4" s="33"/>
      <c r="AD4" s="34"/>
      <c r="AI4" s="59"/>
    </row>
    <row r="5" spans="1:35" s="35" customFormat="1" ht="14">
      <c r="A5" s="26" t="s">
        <v>272</v>
      </c>
      <c r="B5" s="18"/>
      <c r="C5" s="28"/>
      <c r="D5" s="49"/>
      <c r="E5" s="29"/>
      <c r="F5" s="29"/>
      <c r="G5" s="29"/>
      <c r="H5" s="4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49"/>
      <c r="V5" s="29"/>
      <c r="W5" s="29"/>
      <c r="X5" s="29"/>
      <c r="Y5" s="29"/>
      <c r="Z5" s="29"/>
      <c r="AA5" s="29"/>
      <c r="AB5" s="29"/>
      <c r="AC5" s="29"/>
      <c r="AD5" s="30"/>
      <c r="AI5" s="57"/>
    </row>
    <row r="6" spans="1:35" s="35" customFormat="1" ht="14">
      <c r="A6" s="36" t="s">
        <v>273</v>
      </c>
      <c r="B6" s="37" t="s">
        <v>274</v>
      </c>
      <c r="C6" s="28">
        <v>0</v>
      </c>
      <c r="D6" s="49" t="e">
        <f>#REF!</f>
        <v>#REF!</v>
      </c>
      <c r="E6" s="29">
        <v>0</v>
      </c>
      <c r="F6" s="29">
        <v>0</v>
      </c>
      <c r="G6" s="29">
        <v>0</v>
      </c>
      <c r="H6" s="4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49" t="e">
        <f>+#REF!+#REF!</f>
        <v>#REF!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30" t="e">
        <f t="shared" ref="AD6:AD67" si="0">SUM(C6:AC6)</f>
        <v>#REF!</v>
      </c>
      <c r="AI6" s="57"/>
    </row>
    <row r="7" spans="1:35" s="35" customFormat="1" ht="14">
      <c r="A7" s="36" t="s">
        <v>275</v>
      </c>
      <c r="B7" s="37" t="s">
        <v>276</v>
      </c>
      <c r="C7" s="28">
        <v>0</v>
      </c>
      <c r="D7" s="49">
        <v>0</v>
      </c>
      <c r="E7" s="29">
        <v>0</v>
      </c>
      <c r="F7" s="29">
        <v>0</v>
      </c>
      <c r="G7" s="29">
        <v>0</v>
      </c>
      <c r="H7" s="4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4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29">
        <v>0</v>
      </c>
      <c r="AC7" s="29">
        <v>0</v>
      </c>
      <c r="AD7" s="30">
        <f t="shared" si="0"/>
        <v>0</v>
      </c>
      <c r="AI7" s="57"/>
    </row>
    <row r="8" spans="1:35" s="35" customFormat="1" ht="14">
      <c r="A8" s="36" t="s">
        <v>277</v>
      </c>
      <c r="B8" s="37" t="s">
        <v>278</v>
      </c>
      <c r="C8" s="28">
        <v>0</v>
      </c>
      <c r="D8" s="49">
        <v>0</v>
      </c>
      <c r="E8" s="29">
        <v>0</v>
      </c>
      <c r="F8" s="29">
        <v>0</v>
      </c>
      <c r="G8" s="29">
        <v>0</v>
      </c>
      <c r="H8" s="49" t="e">
        <f>#REF!</f>
        <v>#REF!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4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30" t="e">
        <f t="shared" si="0"/>
        <v>#REF!</v>
      </c>
      <c r="AI8" s="57"/>
    </row>
    <row r="9" spans="1:35" s="35" customFormat="1" ht="14">
      <c r="A9" s="36" t="s">
        <v>279</v>
      </c>
      <c r="B9" s="37" t="s">
        <v>280</v>
      </c>
      <c r="C9" s="28">
        <v>0</v>
      </c>
      <c r="D9" s="49">
        <v>0</v>
      </c>
      <c r="E9" s="29">
        <v>0</v>
      </c>
      <c r="F9" s="29">
        <v>0</v>
      </c>
      <c r="G9" s="29">
        <v>0</v>
      </c>
      <c r="H9" s="49" t="e">
        <f>#REF!</f>
        <v>#REF!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4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30" t="e">
        <f t="shared" si="0"/>
        <v>#REF!</v>
      </c>
      <c r="AI9" s="57"/>
    </row>
    <row r="10" spans="1:35" s="35" customFormat="1" ht="14">
      <c r="A10" s="38" t="s">
        <v>281</v>
      </c>
      <c r="B10" s="39"/>
      <c r="C10" s="40">
        <f t="shared" ref="C10:AD10" si="1">SUM(C6:C9)</f>
        <v>0</v>
      </c>
      <c r="D10" s="577" t="e">
        <f t="shared" si="1"/>
        <v>#REF!</v>
      </c>
      <c r="E10" s="41">
        <f t="shared" si="1"/>
        <v>0</v>
      </c>
      <c r="F10" s="41">
        <f t="shared" si="1"/>
        <v>0</v>
      </c>
      <c r="G10" s="41">
        <f t="shared" si="1"/>
        <v>0</v>
      </c>
      <c r="H10" s="577" t="e">
        <f t="shared" si="1"/>
        <v>#REF!</v>
      </c>
      <c r="I10" s="41">
        <f t="shared" si="1"/>
        <v>0</v>
      </c>
      <c r="J10" s="41">
        <f t="shared" si="1"/>
        <v>0</v>
      </c>
      <c r="K10" s="41">
        <f t="shared" si="1"/>
        <v>0</v>
      </c>
      <c r="L10" s="41">
        <f t="shared" si="1"/>
        <v>0</v>
      </c>
      <c r="M10" s="41">
        <f t="shared" si="1"/>
        <v>0</v>
      </c>
      <c r="N10" s="41">
        <f t="shared" si="1"/>
        <v>0</v>
      </c>
      <c r="O10" s="41">
        <f t="shared" si="1"/>
        <v>0</v>
      </c>
      <c r="P10" s="41">
        <f t="shared" si="1"/>
        <v>0</v>
      </c>
      <c r="Q10" s="41">
        <f t="shared" si="1"/>
        <v>0</v>
      </c>
      <c r="R10" s="41">
        <f t="shared" si="1"/>
        <v>0</v>
      </c>
      <c r="S10" s="41">
        <f t="shared" si="1"/>
        <v>0</v>
      </c>
      <c r="T10" s="41">
        <f t="shared" si="1"/>
        <v>0</v>
      </c>
      <c r="U10" s="577" t="e">
        <f t="shared" si="1"/>
        <v>#REF!</v>
      </c>
      <c r="V10" s="41">
        <f t="shared" si="1"/>
        <v>0</v>
      </c>
      <c r="W10" s="41">
        <f t="shared" si="1"/>
        <v>0</v>
      </c>
      <c r="X10" s="41">
        <f t="shared" si="1"/>
        <v>0</v>
      </c>
      <c r="Y10" s="41">
        <f t="shared" si="1"/>
        <v>0</v>
      </c>
      <c r="Z10" s="41">
        <f t="shared" si="1"/>
        <v>0</v>
      </c>
      <c r="AA10" s="41">
        <f t="shared" si="1"/>
        <v>0</v>
      </c>
      <c r="AB10" s="41">
        <f t="shared" si="1"/>
        <v>0</v>
      </c>
      <c r="AC10" s="41">
        <f t="shared" si="1"/>
        <v>0</v>
      </c>
      <c r="AD10" s="42" t="e">
        <f t="shared" si="1"/>
        <v>#REF!</v>
      </c>
      <c r="AI10" s="57"/>
    </row>
    <row r="11" spans="1:35" s="35" customFormat="1">
      <c r="A11" s="26"/>
      <c r="B11" s="18"/>
      <c r="C11" s="43"/>
      <c r="D11" s="578"/>
      <c r="E11" s="44"/>
      <c r="F11" s="44"/>
      <c r="G11" s="44"/>
      <c r="H11" s="578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578"/>
      <c r="V11" s="44"/>
      <c r="W11" s="44"/>
      <c r="X11" s="44"/>
      <c r="Y11" s="44"/>
      <c r="Z11" s="44"/>
      <c r="AA11" s="44"/>
      <c r="AB11" s="44"/>
      <c r="AC11" s="44"/>
      <c r="AD11" s="30"/>
      <c r="AI11" s="57"/>
    </row>
    <row r="12" spans="1:35" s="35" customFormat="1" ht="14">
      <c r="A12" s="38" t="s">
        <v>282</v>
      </c>
      <c r="B12" s="39"/>
      <c r="C12" s="40">
        <f t="shared" ref="C12:AD12" si="2">C3+C10</f>
        <v>0</v>
      </c>
      <c r="D12" s="577" t="e">
        <f t="shared" si="2"/>
        <v>#REF!</v>
      </c>
      <c r="E12" s="41">
        <f t="shared" si="2"/>
        <v>0</v>
      </c>
      <c r="F12" s="41">
        <f t="shared" si="2"/>
        <v>0</v>
      </c>
      <c r="G12" s="41">
        <f t="shared" si="2"/>
        <v>0</v>
      </c>
      <c r="H12" s="577" t="e">
        <f t="shared" si="2"/>
        <v>#REF!</v>
      </c>
      <c r="I12" s="41">
        <f t="shared" si="2"/>
        <v>0</v>
      </c>
      <c r="J12" s="41">
        <f t="shared" si="2"/>
        <v>0</v>
      </c>
      <c r="K12" s="41">
        <f t="shared" si="2"/>
        <v>0</v>
      </c>
      <c r="L12" s="41">
        <f t="shared" si="2"/>
        <v>0</v>
      </c>
      <c r="M12" s="41">
        <f t="shared" si="2"/>
        <v>0</v>
      </c>
      <c r="N12" s="41">
        <f t="shared" si="2"/>
        <v>0</v>
      </c>
      <c r="O12" s="41">
        <f t="shared" si="2"/>
        <v>0</v>
      </c>
      <c r="P12" s="41">
        <f t="shared" si="2"/>
        <v>0</v>
      </c>
      <c r="Q12" s="41">
        <f t="shared" si="2"/>
        <v>0</v>
      </c>
      <c r="R12" s="41">
        <f t="shared" si="2"/>
        <v>0</v>
      </c>
      <c r="S12" s="41">
        <f t="shared" si="2"/>
        <v>0</v>
      </c>
      <c r="T12" s="41">
        <f t="shared" si="2"/>
        <v>0</v>
      </c>
      <c r="U12" s="577" t="e">
        <f t="shared" si="2"/>
        <v>#REF!</v>
      </c>
      <c r="V12" s="41">
        <f t="shared" si="2"/>
        <v>0</v>
      </c>
      <c r="W12" s="41">
        <f t="shared" si="2"/>
        <v>0</v>
      </c>
      <c r="X12" s="41">
        <f t="shared" si="2"/>
        <v>0</v>
      </c>
      <c r="Y12" s="41">
        <f t="shared" si="2"/>
        <v>0</v>
      </c>
      <c r="Z12" s="41">
        <f t="shared" si="2"/>
        <v>0</v>
      </c>
      <c r="AA12" s="41">
        <f t="shared" si="2"/>
        <v>0</v>
      </c>
      <c r="AB12" s="41">
        <f t="shared" si="2"/>
        <v>0</v>
      </c>
      <c r="AC12" s="41">
        <f t="shared" si="2"/>
        <v>0</v>
      </c>
      <c r="AD12" s="42" t="e">
        <f t="shared" si="2"/>
        <v>#REF!</v>
      </c>
      <c r="AI12" s="57"/>
    </row>
    <row r="13" spans="1:35" s="35" customFormat="1" ht="14">
      <c r="A13" s="26" t="s">
        <v>283</v>
      </c>
      <c r="B13" s="18"/>
      <c r="C13" s="43"/>
      <c r="D13" s="578"/>
      <c r="E13" s="44"/>
      <c r="F13" s="44"/>
      <c r="G13" s="44"/>
      <c r="H13" s="578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578"/>
      <c r="V13" s="44"/>
      <c r="W13" s="44"/>
      <c r="X13" s="44"/>
      <c r="Y13" s="44"/>
      <c r="Z13" s="44"/>
      <c r="AA13" s="44"/>
      <c r="AB13" s="44"/>
      <c r="AC13" s="44"/>
      <c r="AD13" s="30"/>
      <c r="AI13" s="57"/>
    </row>
    <row r="14" spans="1:35" s="35" customFormat="1" ht="14">
      <c r="A14" s="45" t="s">
        <v>284</v>
      </c>
      <c r="B14" s="37" t="s">
        <v>285</v>
      </c>
      <c r="C14" s="46">
        <v>0</v>
      </c>
      <c r="D14" s="49" t="e">
        <f>#REF!</f>
        <v>#REF!</v>
      </c>
      <c r="E14" s="47">
        <v>0</v>
      </c>
      <c r="F14" s="47">
        <v>0</v>
      </c>
      <c r="G14" s="47">
        <v>0</v>
      </c>
      <c r="H14" s="49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9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30" t="e">
        <f t="shared" si="0"/>
        <v>#REF!</v>
      </c>
      <c r="AI14" s="57"/>
    </row>
    <row r="15" spans="1:35" s="35" customFormat="1" ht="14">
      <c r="A15" s="45" t="s">
        <v>286</v>
      </c>
      <c r="B15" s="37" t="s">
        <v>287</v>
      </c>
      <c r="C15" s="28">
        <v>0</v>
      </c>
      <c r="D15" s="49">
        <v>0</v>
      </c>
      <c r="E15" s="29">
        <v>0</v>
      </c>
      <c r="F15" s="29">
        <v>0</v>
      </c>
      <c r="G15" s="29">
        <v>0</v>
      </c>
      <c r="H15" s="4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4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30">
        <f t="shared" si="0"/>
        <v>0</v>
      </c>
      <c r="AI15" s="57"/>
    </row>
    <row r="16" spans="1:35" s="35" customFormat="1" ht="42">
      <c r="A16" s="45" t="s">
        <v>288</v>
      </c>
      <c r="B16" s="37" t="s">
        <v>289</v>
      </c>
      <c r="C16" s="28">
        <v>0</v>
      </c>
      <c r="D16" s="49">
        <v>0</v>
      </c>
      <c r="E16" s="29">
        <v>0</v>
      </c>
      <c r="F16" s="29">
        <v>0</v>
      </c>
      <c r="G16" s="29">
        <v>0</v>
      </c>
      <c r="H16" s="4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4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30">
        <f t="shared" si="0"/>
        <v>0</v>
      </c>
      <c r="AI16" s="57"/>
    </row>
    <row r="17" spans="1:37" s="35" customFormat="1">
      <c r="A17" s="26"/>
      <c r="B17" s="18"/>
      <c r="C17" s="43"/>
      <c r="D17" s="578"/>
      <c r="E17" s="44"/>
      <c r="F17" s="44"/>
      <c r="G17" s="44"/>
      <c r="H17" s="578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578"/>
      <c r="V17" s="44"/>
      <c r="W17" s="44"/>
      <c r="X17" s="44"/>
      <c r="Y17" s="44"/>
      <c r="Z17" s="44"/>
      <c r="AA17" s="44"/>
      <c r="AB17" s="44"/>
      <c r="AC17" s="44"/>
      <c r="AD17" s="30"/>
      <c r="AI17" s="57"/>
    </row>
    <row r="18" spans="1:37" s="35" customFormat="1" ht="42">
      <c r="A18" s="38" t="s">
        <v>290</v>
      </c>
      <c r="B18" s="39"/>
      <c r="C18" s="40">
        <f t="shared" ref="C18:AD18" si="3">C12+C14+C15+C16</f>
        <v>0</v>
      </c>
      <c r="D18" s="577" t="e">
        <f t="shared" si="3"/>
        <v>#REF!</v>
      </c>
      <c r="E18" s="41">
        <f t="shared" si="3"/>
        <v>0</v>
      </c>
      <c r="F18" s="41">
        <f t="shared" si="3"/>
        <v>0</v>
      </c>
      <c r="G18" s="41">
        <f t="shared" si="3"/>
        <v>0</v>
      </c>
      <c r="H18" s="577" t="e">
        <f t="shared" si="3"/>
        <v>#REF!</v>
      </c>
      <c r="I18" s="41">
        <f t="shared" si="3"/>
        <v>0</v>
      </c>
      <c r="J18" s="41">
        <f t="shared" si="3"/>
        <v>0</v>
      </c>
      <c r="K18" s="41">
        <f t="shared" si="3"/>
        <v>0</v>
      </c>
      <c r="L18" s="41">
        <f t="shared" si="3"/>
        <v>0</v>
      </c>
      <c r="M18" s="41">
        <f t="shared" si="3"/>
        <v>0</v>
      </c>
      <c r="N18" s="41">
        <f t="shared" si="3"/>
        <v>0</v>
      </c>
      <c r="O18" s="41">
        <f t="shared" si="3"/>
        <v>0</v>
      </c>
      <c r="P18" s="41">
        <f t="shared" si="3"/>
        <v>0</v>
      </c>
      <c r="Q18" s="41">
        <f t="shared" si="3"/>
        <v>0</v>
      </c>
      <c r="R18" s="41">
        <f t="shared" si="3"/>
        <v>0</v>
      </c>
      <c r="S18" s="41">
        <f t="shared" si="3"/>
        <v>0</v>
      </c>
      <c r="T18" s="41">
        <f t="shared" si="3"/>
        <v>0</v>
      </c>
      <c r="U18" s="577" t="e">
        <f t="shared" si="3"/>
        <v>#REF!</v>
      </c>
      <c r="V18" s="41">
        <f t="shared" si="3"/>
        <v>0</v>
      </c>
      <c r="W18" s="41">
        <f t="shared" si="3"/>
        <v>0</v>
      </c>
      <c r="X18" s="41">
        <f t="shared" si="3"/>
        <v>0</v>
      </c>
      <c r="Y18" s="41">
        <f t="shared" si="3"/>
        <v>0</v>
      </c>
      <c r="Z18" s="41">
        <f t="shared" si="3"/>
        <v>0</v>
      </c>
      <c r="AA18" s="41">
        <f t="shared" si="3"/>
        <v>0</v>
      </c>
      <c r="AB18" s="41">
        <f t="shared" si="3"/>
        <v>0</v>
      </c>
      <c r="AC18" s="41">
        <f t="shared" si="3"/>
        <v>0</v>
      </c>
      <c r="AD18" s="42" t="e">
        <f t="shared" si="3"/>
        <v>#REF!</v>
      </c>
      <c r="AF18" s="19"/>
      <c r="AI18" s="57"/>
    </row>
    <row r="19" spans="1:37" s="35" customFormat="1">
      <c r="A19" s="26"/>
      <c r="B19" s="18"/>
      <c r="C19" s="43"/>
      <c r="D19" s="578"/>
      <c r="E19" s="44"/>
      <c r="F19" s="44"/>
      <c r="G19" s="44"/>
      <c r="H19" s="578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578"/>
      <c r="V19" s="44"/>
      <c r="W19" s="44"/>
      <c r="X19" s="44"/>
      <c r="Y19" s="44"/>
      <c r="Z19" s="44"/>
      <c r="AA19" s="44"/>
      <c r="AB19" s="44"/>
      <c r="AC19" s="44"/>
      <c r="AD19" s="30"/>
      <c r="AI19" s="57"/>
    </row>
    <row r="20" spans="1:37" s="35" customFormat="1" ht="14">
      <c r="A20" s="26" t="s">
        <v>21</v>
      </c>
      <c r="B20" s="18"/>
      <c r="C20" s="43"/>
      <c r="D20" s="578"/>
      <c r="E20" s="44"/>
      <c r="F20" s="44"/>
      <c r="G20" s="44"/>
      <c r="H20" s="578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578"/>
      <c r="V20" s="44"/>
      <c r="W20" s="44"/>
      <c r="X20" s="44"/>
      <c r="Y20" s="44"/>
      <c r="Z20" s="44"/>
      <c r="AA20" s="44"/>
      <c r="AB20" s="44"/>
      <c r="AC20" s="44"/>
      <c r="AD20" s="30"/>
      <c r="AI20" s="57"/>
    </row>
    <row r="21" spans="1:37" s="35" customFormat="1" ht="14">
      <c r="A21" s="26" t="s">
        <v>291</v>
      </c>
      <c r="B21" s="18"/>
      <c r="C21" s="43"/>
      <c r="D21" s="578"/>
      <c r="E21" s="44"/>
      <c r="F21" s="44"/>
      <c r="G21" s="44"/>
      <c r="H21" s="578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578"/>
      <c r="V21" s="44"/>
      <c r="W21" s="44"/>
      <c r="X21" s="44"/>
      <c r="Y21" s="44"/>
      <c r="Z21" s="44"/>
      <c r="AA21" s="44"/>
      <c r="AB21" s="44"/>
      <c r="AC21" s="44"/>
      <c r="AD21" s="30"/>
      <c r="AI21" s="57"/>
    </row>
    <row r="22" spans="1:37" s="35" customFormat="1" ht="14">
      <c r="A22" s="36" t="s">
        <v>292</v>
      </c>
      <c r="B22" s="37" t="s">
        <v>293</v>
      </c>
      <c r="C22" s="28">
        <v>0</v>
      </c>
      <c r="D22" s="579" t="e">
        <f>#REF!+#REF!+#REF!+#REF!</f>
        <v>#REF!</v>
      </c>
      <c r="E22" s="56">
        <v>0</v>
      </c>
      <c r="F22" s="56">
        <v>0</v>
      </c>
      <c r="G22" s="56">
        <v>0</v>
      </c>
      <c r="H22" s="579" t="e">
        <f>#REF!+#REF!+#REF!+#REF!-251218</f>
        <v>#REF!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4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30" t="e">
        <f t="shared" si="0"/>
        <v>#REF!</v>
      </c>
      <c r="AF22" s="19"/>
      <c r="AI22" s="57"/>
      <c r="AK22" s="60"/>
    </row>
    <row r="23" spans="1:37" s="35" customFormat="1" ht="14">
      <c r="A23" s="36" t="s">
        <v>294</v>
      </c>
      <c r="B23" s="37" t="s">
        <v>295</v>
      </c>
      <c r="C23" s="28">
        <v>0</v>
      </c>
      <c r="D23" s="579" t="e">
        <f>#REF!-D32-D41-D50-D59-D68-D76-D94-D103-D112-D158</f>
        <v>#REF!</v>
      </c>
      <c r="E23" s="56">
        <v>0</v>
      </c>
      <c r="F23" s="56">
        <v>0</v>
      </c>
      <c r="G23" s="56">
        <v>0</v>
      </c>
      <c r="H23" s="57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4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30" t="e">
        <f t="shared" si="0"/>
        <v>#REF!</v>
      </c>
      <c r="AF23" s="19"/>
      <c r="AI23" s="57"/>
      <c r="AK23" s="60"/>
    </row>
    <row r="24" spans="1:37" s="35" customFormat="1" ht="14">
      <c r="A24" s="36" t="s">
        <v>296</v>
      </c>
      <c r="B24" s="37" t="s">
        <v>297</v>
      </c>
      <c r="C24" s="28">
        <v>0</v>
      </c>
      <c r="D24" s="579" t="e">
        <f>#REF!+54143.96</f>
        <v>#REF!</v>
      </c>
      <c r="E24" s="56">
        <v>0</v>
      </c>
      <c r="F24" s="56">
        <v>0</v>
      </c>
      <c r="G24" s="56">
        <v>0</v>
      </c>
      <c r="H24" s="57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4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30" t="e">
        <f t="shared" si="0"/>
        <v>#REF!</v>
      </c>
      <c r="AF24" s="19"/>
      <c r="AI24" s="57"/>
      <c r="AK24" s="60"/>
    </row>
    <row r="25" spans="1:37" s="35" customFormat="1" ht="14">
      <c r="A25" s="36" t="s">
        <v>298</v>
      </c>
      <c r="B25" s="37" t="s">
        <v>299</v>
      </c>
      <c r="C25" s="28">
        <v>0</v>
      </c>
      <c r="D25" s="49" t="e">
        <f>#REF!+#REF!+#REF!+#REF!+#REF!+#REF!+#REF!+#REF!+#REF!+#REF!</f>
        <v>#REF!</v>
      </c>
      <c r="E25" s="29">
        <v>0</v>
      </c>
      <c r="F25" s="29">
        <v>0</v>
      </c>
      <c r="G25" s="29">
        <v>0</v>
      </c>
      <c r="H25" s="4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4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30" t="e">
        <f t="shared" si="0"/>
        <v>#REF!</v>
      </c>
      <c r="AF25" s="19"/>
      <c r="AI25" s="57"/>
      <c r="AK25" s="60"/>
    </row>
    <row r="26" spans="1:37" s="35" customFormat="1" ht="14">
      <c r="A26" s="36" t="s">
        <v>300</v>
      </c>
      <c r="B26" s="37" t="s">
        <v>301</v>
      </c>
      <c r="C26" s="28">
        <v>0</v>
      </c>
      <c r="D26" s="49" t="e">
        <f>#REF!</f>
        <v>#REF!</v>
      </c>
      <c r="E26" s="29">
        <v>0</v>
      </c>
      <c r="F26" s="29">
        <v>0</v>
      </c>
      <c r="G26" s="29">
        <v>0</v>
      </c>
      <c r="H26" s="4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4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30" t="e">
        <f t="shared" si="0"/>
        <v>#REF!</v>
      </c>
      <c r="AF26" s="19"/>
      <c r="AI26" s="57"/>
      <c r="AK26" s="60"/>
    </row>
    <row r="27" spans="1:37" s="35" customFormat="1" ht="14">
      <c r="A27" s="36" t="s">
        <v>302</v>
      </c>
      <c r="B27" s="37" t="s">
        <v>303</v>
      </c>
      <c r="C27" s="28">
        <v>0</v>
      </c>
      <c r="D27" s="49">
        <v>0</v>
      </c>
      <c r="E27" s="29">
        <v>0</v>
      </c>
      <c r="F27" s="29">
        <v>0</v>
      </c>
      <c r="G27" s="29">
        <v>0</v>
      </c>
      <c r="H27" s="4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4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30">
        <f t="shared" si="0"/>
        <v>0</v>
      </c>
    </row>
    <row r="28" spans="1:37" s="35" customFormat="1" ht="14">
      <c r="A28" s="48" t="s">
        <v>304</v>
      </c>
      <c r="B28" s="39"/>
      <c r="C28" s="40">
        <f t="shared" ref="C28:AD28" si="4">SUM(C22:C27)</f>
        <v>0</v>
      </c>
      <c r="D28" s="577" t="e">
        <f t="shared" si="4"/>
        <v>#REF!</v>
      </c>
      <c r="E28" s="41">
        <f t="shared" si="4"/>
        <v>0</v>
      </c>
      <c r="F28" s="41">
        <f t="shared" si="4"/>
        <v>0</v>
      </c>
      <c r="G28" s="41">
        <f t="shared" si="4"/>
        <v>0</v>
      </c>
      <c r="H28" s="577" t="e">
        <f t="shared" si="4"/>
        <v>#REF!</v>
      </c>
      <c r="I28" s="41">
        <f t="shared" si="4"/>
        <v>0</v>
      </c>
      <c r="J28" s="41">
        <f t="shared" ref="J28" si="5">SUM(J22:J27)</f>
        <v>0</v>
      </c>
      <c r="K28" s="41">
        <f t="shared" si="4"/>
        <v>0</v>
      </c>
      <c r="L28" s="41">
        <f t="shared" si="4"/>
        <v>0</v>
      </c>
      <c r="M28" s="41">
        <f t="shared" si="4"/>
        <v>0</v>
      </c>
      <c r="N28" s="41">
        <f t="shared" si="4"/>
        <v>0</v>
      </c>
      <c r="O28" s="41">
        <f t="shared" si="4"/>
        <v>0</v>
      </c>
      <c r="P28" s="41">
        <f t="shared" si="4"/>
        <v>0</v>
      </c>
      <c r="Q28" s="41">
        <f t="shared" si="4"/>
        <v>0</v>
      </c>
      <c r="R28" s="41">
        <f t="shared" si="4"/>
        <v>0</v>
      </c>
      <c r="S28" s="41">
        <f t="shared" si="4"/>
        <v>0</v>
      </c>
      <c r="T28" s="41">
        <f t="shared" si="4"/>
        <v>0</v>
      </c>
      <c r="U28" s="577">
        <f t="shared" si="4"/>
        <v>0</v>
      </c>
      <c r="V28" s="41">
        <f t="shared" si="4"/>
        <v>0</v>
      </c>
      <c r="W28" s="41">
        <f t="shared" si="4"/>
        <v>0</v>
      </c>
      <c r="X28" s="41">
        <f t="shared" si="4"/>
        <v>0</v>
      </c>
      <c r="Y28" s="41">
        <f t="shared" si="4"/>
        <v>0</v>
      </c>
      <c r="Z28" s="41">
        <f t="shared" si="4"/>
        <v>0</v>
      </c>
      <c r="AA28" s="41">
        <f t="shared" si="4"/>
        <v>0</v>
      </c>
      <c r="AB28" s="41">
        <f t="shared" si="4"/>
        <v>0</v>
      </c>
      <c r="AC28" s="41">
        <f t="shared" si="4"/>
        <v>0</v>
      </c>
      <c r="AD28" s="42" t="e">
        <f t="shared" si="4"/>
        <v>#REF!</v>
      </c>
      <c r="AF28" s="19"/>
      <c r="AG28" s="19"/>
      <c r="AI28" s="57"/>
      <c r="AK28" s="60"/>
    </row>
    <row r="29" spans="1:37" s="35" customFormat="1" ht="14">
      <c r="A29" s="26" t="s">
        <v>305</v>
      </c>
      <c r="B29" s="18"/>
      <c r="C29" s="43"/>
      <c r="D29" s="578"/>
      <c r="E29" s="44"/>
      <c r="F29" s="44"/>
      <c r="G29" s="44"/>
      <c r="H29" s="578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578"/>
      <c r="V29" s="44"/>
      <c r="W29" s="44"/>
      <c r="X29" s="44"/>
      <c r="Y29" s="44"/>
      <c r="Z29" s="44"/>
      <c r="AA29" s="44"/>
      <c r="AB29" s="44"/>
      <c r="AC29" s="44"/>
      <c r="AD29" s="30"/>
      <c r="AI29" s="57"/>
    </row>
    <row r="30" spans="1:37" s="35" customFormat="1" ht="14">
      <c r="A30" s="26" t="s">
        <v>306</v>
      </c>
      <c r="B30" s="18"/>
      <c r="C30" s="43"/>
      <c r="D30" s="578"/>
      <c r="E30" s="44"/>
      <c r="F30" s="44"/>
      <c r="G30" s="44"/>
      <c r="H30" s="578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578"/>
      <c r="V30" s="44"/>
      <c r="W30" s="44"/>
      <c r="X30" s="44"/>
      <c r="Y30" s="44"/>
      <c r="Z30" s="44"/>
      <c r="AA30" s="44"/>
      <c r="AB30" s="44"/>
      <c r="AC30" s="44"/>
      <c r="AD30" s="30"/>
      <c r="AI30" s="57"/>
    </row>
    <row r="31" spans="1:37" s="35" customFormat="1" ht="14">
      <c r="A31" s="36" t="s">
        <v>292</v>
      </c>
      <c r="B31" s="37" t="s">
        <v>293</v>
      </c>
      <c r="C31" s="28">
        <v>0</v>
      </c>
      <c r="D31" s="49" t="e">
        <f>#REF!</f>
        <v>#REF!</v>
      </c>
      <c r="E31" s="29">
        <v>0</v>
      </c>
      <c r="F31" s="29">
        <v>0</v>
      </c>
      <c r="G31" s="29">
        <v>0</v>
      </c>
      <c r="H31" s="4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4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30" t="e">
        <f t="shared" si="0"/>
        <v>#REF!</v>
      </c>
      <c r="AI31" s="57"/>
    </row>
    <row r="32" spans="1:37" s="35" customFormat="1" ht="14">
      <c r="A32" s="36" t="s">
        <v>294</v>
      </c>
      <c r="B32" s="37" t="s">
        <v>295</v>
      </c>
      <c r="C32" s="28">
        <v>0</v>
      </c>
      <c r="D32" s="49" t="e">
        <f>#REF!+#REF!+#REF!+#REF!+#REF!</f>
        <v>#REF!</v>
      </c>
      <c r="E32" s="29">
        <v>0</v>
      </c>
      <c r="F32" s="29">
        <v>0</v>
      </c>
      <c r="G32" s="29">
        <v>0</v>
      </c>
      <c r="H32" s="4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4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30" t="e">
        <f t="shared" si="0"/>
        <v>#REF!</v>
      </c>
      <c r="AI32" s="57"/>
    </row>
    <row r="33" spans="1:35" s="35" customFormat="1" ht="14">
      <c r="A33" s="36" t="s">
        <v>296</v>
      </c>
      <c r="B33" s="37" t="s">
        <v>297</v>
      </c>
      <c r="C33" s="28">
        <v>0</v>
      </c>
      <c r="D33" s="579" t="e">
        <f>#REF!+124640</f>
        <v>#REF!</v>
      </c>
      <c r="E33" s="29">
        <v>0</v>
      </c>
      <c r="F33" s="29">
        <v>0</v>
      </c>
      <c r="G33" s="29">
        <v>0</v>
      </c>
      <c r="H33" s="57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4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30" t="e">
        <f t="shared" si="0"/>
        <v>#REF!</v>
      </c>
      <c r="AI33" s="57"/>
    </row>
    <row r="34" spans="1:35" s="35" customFormat="1" ht="14">
      <c r="A34" s="36" t="s">
        <v>298</v>
      </c>
      <c r="B34" s="37" t="s">
        <v>299</v>
      </c>
      <c r="C34" s="28">
        <v>0</v>
      </c>
      <c r="D34" s="49" t="e">
        <f>#REF!</f>
        <v>#REF!</v>
      </c>
      <c r="E34" s="29">
        <v>0</v>
      </c>
      <c r="F34" s="29">
        <v>0</v>
      </c>
      <c r="G34" s="29">
        <v>0</v>
      </c>
      <c r="H34" s="4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4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30" t="e">
        <f t="shared" si="0"/>
        <v>#REF!</v>
      </c>
      <c r="AI34" s="57"/>
    </row>
    <row r="35" spans="1:35" s="35" customFormat="1" ht="14">
      <c r="A35" s="36" t="s">
        <v>300</v>
      </c>
      <c r="B35" s="37" t="s">
        <v>301</v>
      </c>
      <c r="C35" s="28">
        <v>0</v>
      </c>
      <c r="D35" s="49">
        <v>0</v>
      </c>
      <c r="E35" s="29">
        <v>0</v>
      </c>
      <c r="F35" s="29">
        <v>0</v>
      </c>
      <c r="G35" s="29">
        <v>0</v>
      </c>
      <c r="H35" s="4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4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30">
        <f t="shared" si="0"/>
        <v>0</v>
      </c>
      <c r="AI35" s="57"/>
    </row>
    <row r="36" spans="1:35" s="35" customFormat="1" ht="14">
      <c r="A36" s="36" t="s">
        <v>302</v>
      </c>
      <c r="B36" s="37" t="s">
        <v>303</v>
      </c>
      <c r="C36" s="28">
        <v>0</v>
      </c>
      <c r="D36" s="49">
        <v>0</v>
      </c>
      <c r="E36" s="29">
        <v>0</v>
      </c>
      <c r="F36" s="29">
        <v>0</v>
      </c>
      <c r="G36" s="29">
        <v>0</v>
      </c>
      <c r="H36" s="4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4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30">
        <f t="shared" si="0"/>
        <v>0</v>
      </c>
      <c r="AI36" s="57"/>
    </row>
    <row r="37" spans="1:35" s="35" customFormat="1" ht="14">
      <c r="A37" s="48" t="s">
        <v>307</v>
      </c>
      <c r="B37" s="39"/>
      <c r="C37" s="40">
        <f t="shared" ref="C37:AD37" si="6">SUM(C31:C36)</f>
        <v>0</v>
      </c>
      <c r="D37" s="577" t="e">
        <f t="shared" si="6"/>
        <v>#REF!</v>
      </c>
      <c r="E37" s="41">
        <f t="shared" si="6"/>
        <v>0</v>
      </c>
      <c r="F37" s="41">
        <f t="shared" si="6"/>
        <v>0</v>
      </c>
      <c r="G37" s="41">
        <f t="shared" si="6"/>
        <v>0</v>
      </c>
      <c r="H37" s="577">
        <f t="shared" si="6"/>
        <v>0</v>
      </c>
      <c r="I37" s="41">
        <f t="shared" si="6"/>
        <v>0</v>
      </c>
      <c r="J37" s="41">
        <f t="shared" si="6"/>
        <v>0</v>
      </c>
      <c r="K37" s="41">
        <f t="shared" si="6"/>
        <v>0</v>
      </c>
      <c r="L37" s="41">
        <f t="shared" si="6"/>
        <v>0</v>
      </c>
      <c r="M37" s="41">
        <f t="shared" si="6"/>
        <v>0</v>
      </c>
      <c r="N37" s="41">
        <f t="shared" si="6"/>
        <v>0</v>
      </c>
      <c r="O37" s="41">
        <f t="shared" si="6"/>
        <v>0</v>
      </c>
      <c r="P37" s="41">
        <f t="shared" si="6"/>
        <v>0</v>
      </c>
      <c r="Q37" s="41">
        <f t="shared" si="6"/>
        <v>0</v>
      </c>
      <c r="R37" s="41">
        <f t="shared" si="6"/>
        <v>0</v>
      </c>
      <c r="S37" s="41">
        <f t="shared" si="6"/>
        <v>0</v>
      </c>
      <c r="T37" s="41">
        <f t="shared" si="6"/>
        <v>0</v>
      </c>
      <c r="U37" s="577">
        <f t="shared" si="6"/>
        <v>0</v>
      </c>
      <c r="V37" s="41">
        <f t="shared" si="6"/>
        <v>0</v>
      </c>
      <c r="W37" s="41">
        <f t="shared" si="6"/>
        <v>0</v>
      </c>
      <c r="X37" s="41">
        <f t="shared" si="6"/>
        <v>0</v>
      </c>
      <c r="Y37" s="41">
        <f t="shared" si="6"/>
        <v>0</v>
      </c>
      <c r="Z37" s="41">
        <f t="shared" si="6"/>
        <v>0</v>
      </c>
      <c r="AA37" s="41">
        <f t="shared" si="6"/>
        <v>0</v>
      </c>
      <c r="AB37" s="41">
        <f t="shared" si="6"/>
        <v>0</v>
      </c>
      <c r="AC37" s="41">
        <f t="shared" si="6"/>
        <v>0</v>
      </c>
      <c r="AD37" s="42" t="e">
        <f t="shared" si="6"/>
        <v>#REF!</v>
      </c>
      <c r="AI37" s="57"/>
    </row>
    <row r="38" spans="1:35" s="35" customFormat="1">
      <c r="A38" s="26"/>
      <c r="B38" s="18"/>
      <c r="C38" s="43"/>
      <c r="D38" s="578"/>
      <c r="E38" s="44"/>
      <c r="F38" s="44"/>
      <c r="G38" s="44"/>
      <c r="H38" s="578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578"/>
      <c r="V38" s="44"/>
      <c r="W38" s="44"/>
      <c r="X38" s="44"/>
      <c r="Y38" s="44"/>
      <c r="Z38" s="44"/>
      <c r="AA38" s="44"/>
      <c r="AB38" s="44"/>
      <c r="AC38" s="44"/>
      <c r="AD38" s="30"/>
      <c r="AI38" s="57"/>
    </row>
    <row r="39" spans="1:35" s="35" customFormat="1" ht="14">
      <c r="A39" s="26" t="s">
        <v>308</v>
      </c>
      <c r="B39" s="18"/>
      <c r="C39" s="43"/>
      <c r="D39" s="578"/>
      <c r="E39" s="44"/>
      <c r="F39" s="44"/>
      <c r="G39" s="44"/>
      <c r="H39" s="578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578"/>
      <c r="V39" s="44"/>
      <c r="W39" s="44"/>
      <c r="X39" s="44"/>
      <c r="Y39" s="44"/>
      <c r="Z39" s="44"/>
      <c r="AA39" s="44"/>
      <c r="AB39" s="44"/>
      <c r="AC39" s="44"/>
      <c r="AD39" s="30"/>
      <c r="AI39" s="57"/>
    </row>
    <row r="40" spans="1:35" s="35" customFormat="1" ht="14">
      <c r="A40" s="36" t="s">
        <v>292</v>
      </c>
      <c r="B40" s="37" t="s">
        <v>293</v>
      </c>
      <c r="C40" s="28">
        <v>0</v>
      </c>
      <c r="D40" s="49">
        <v>0</v>
      </c>
      <c r="E40" s="29">
        <v>0</v>
      </c>
      <c r="F40" s="29">
        <v>0</v>
      </c>
      <c r="G40" s="29">
        <v>0</v>
      </c>
      <c r="H40" s="4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4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30">
        <f t="shared" si="0"/>
        <v>0</v>
      </c>
      <c r="AI40" s="57"/>
    </row>
    <row r="41" spans="1:35" s="35" customFormat="1" ht="14">
      <c r="A41" s="36" t="s">
        <v>294</v>
      </c>
      <c r="B41" s="37" t="s">
        <v>295</v>
      </c>
      <c r="C41" s="28">
        <v>0</v>
      </c>
      <c r="D41" s="49">
        <v>0</v>
      </c>
      <c r="E41" s="29">
        <v>0</v>
      </c>
      <c r="F41" s="29">
        <v>0</v>
      </c>
      <c r="G41" s="29">
        <v>0</v>
      </c>
      <c r="H41" s="4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4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30">
        <f t="shared" si="0"/>
        <v>0</v>
      </c>
      <c r="AI41" s="57"/>
    </row>
    <row r="42" spans="1:35" s="35" customFormat="1" ht="14">
      <c r="A42" s="36" t="s">
        <v>296</v>
      </c>
      <c r="B42" s="37" t="s">
        <v>297</v>
      </c>
      <c r="C42" s="28">
        <v>0</v>
      </c>
      <c r="D42" s="579" t="e">
        <f>#REF!+#REF!+#REF!+#REF!+#REF!+#REF!</f>
        <v>#REF!</v>
      </c>
      <c r="E42" s="29">
        <v>0</v>
      </c>
      <c r="F42" s="29">
        <v>0</v>
      </c>
      <c r="G42" s="29">
        <v>0</v>
      </c>
      <c r="H42" s="4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4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30" t="e">
        <f t="shared" si="0"/>
        <v>#REF!</v>
      </c>
      <c r="AI42" s="57"/>
    </row>
    <row r="43" spans="1:35" s="35" customFormat="1" ht="14">
      <c r="A43" s="36" t="s">
        <v>298</v>
      </c>
      <c r="B43" s="37" t="s">
        <v>299</v>
      </c>
      <c r="C43" s="28">
        <v>0</v>
      </c>
      <c r="D43" s="49">
        <v>0</v>
      </c>
      <c r="E43" s="29">
        <v>0</v>
      </c>
      <c r="F43" s="29">
        <v>0</v>
      </c>
      <c r="G43" s="29">
        <v>0</v>
      </c>
      <c r="H43" s="4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4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30">
        <f t="shared" si="0"/>
        <v>0</v>
      </c>
      <c r="AI43" s="57"/>
    </row>
    <row r="44" spans="1:35" s="35" customFormat="1" ht="14">
      <c r="A44" s="36" t="s">
        <v>300</v>
      </c>
      <c r="B44" s="37" t="s">
        <v>301</v>
      </c>
      <c r="C44" s="28">
        <v>0</v>
      </c>
      <c r="D44" s="49">
        <v>0</v>
      </c>
      <c r="E44" s="29">
        <v>0</v>
      </c>
      <c r="F44" s="29">
        <v>0</v>
      </c>
      <c r="G44" s="29">
        <v>0</v>
      </c>
      <c r="H44" s="4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4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30">
        <f t="shared" si="0"/>
        <v>0</v>
      </c>
      <c r="AI44" s="57"/>
    </row>
    <row r="45" spans="1:35" s="35" customFormat="1" ht="14">
      <c r="A45" s="36" t="s">
        <v>302</v>
      </c>
      <c r="B45" s="37" t="s">
        <v>303</v>
      </c>
      <c r="C45" s="28">
        <v>0</v>
      </c>
      <c r="D45" s="49">
        <v>0</v>
      </c>
      <c r="E45" s="29">
        <v>0</v>
      </c>
      <c r="F45" s="29">
        <v>0</v>
      </c>
      <c r="G45" s="29">
        <v>0</v>
      </c>
      <c r="H45" s="4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4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30">
        <f t="shared" si="0"/>
        <v>0</v>
      </c>
      <c r="AI45" s="57"/>
    </row>
    <row r="46" spans="1:35" s="35" customFormat="1" ht="14">
      <c r="A46" s="48" t="s">
        <v>309</v>
      </c>
      <c r="B46" s="39"/>
      <c r="C46" s="40">
        <f t="shared" ref="C46:AD46" si="7">SUM(C40:C45)</f>
        <v>0</v>
      </c>
      <c r="D46" s="577" t="e">
        <f t="shared" si="7"/>
        <v>#REF!</v>
      </c>
      <c r="E46" s="41">
        <f t="shared" si="7"/>
        <v>0</v>
      </c>
      <c r="F46" s="41">
        <f t="shared" si="7"/>
        <v>0</v>
      </c>
      <c r="G46" s="41">
        <f t="shared" si="7"/>
        <v>0</v>
      </c>
      <c r="H46" s="577">
        <f t="shared" si="7"/>
        <v>0</v>
      </c>
      <c r="I46" s="41">
        <f t="shared" si="7"/>
        <v>0</v>
      </c>
      <c r="J46" s="41">
        <f t="shared" ref="J46" si="8">SUM(J40:J45)</f>
        <v>0</v>
      </c>
      <c r="K46" s="41">
        <f t="shared" si="7"/>
        <v>0</v>
      </c>
      <c r="L46" s="41">
        <f t="shared" si="7"/>
        <v>0</v>
      </c>
      <c r="M46" s="41">
        <f t="shared" si="7"/>
        <v>0</v>
      </c>
      <c r="N46" s="41">
        <f t="shared" si="7"/>
        <v>0</v>
      </c>
      <c r="O46" s="41">
        <f t="shared" si="7"/>
        <v>0</v>
      </c>
      <c r="P46" s="41">
        <f t="shared" si="7"/>
        <v>0</v>
      </c>
      <c r="Q46" s="41">
        <f t="shared" si="7"/>
        <v>0</v>
      </c>
      <c r="R46" s="41">
        <f t="shared" si="7"/>
        <v>0</v>
      </c>
      <c r="S46" s="41">
        <f t="shared" si="7"/>
        <v>0</v>
      </c>
      <c r="T46" s="41">
        <f t="shared" si="7"/>
        <v>0</v>
      </c>
      <c r="U46" s="577">
        <f t="shared" si="7"/>
        <v>0</v>
      </c>
      <c r="V46" s="41">
        <f t="shared" si="7"/>
        <v>0</v>
      </c>
      <c r="W46" s="41">
        <f t="shared" si="7"/>
        <v>0</v>
      </c>
      <c r="X46" s="41">
        <f t="shared" si="7"/>
        <v>0</v>
      </c>
      <c r="Y46" s="41">
        <f t="shared" si="7"/>
        <v>0</v>
      </c>
      <c r="Z46" s="41">
        <f t="shared" si="7"/>
        <v>0</v>
      </c>
      <c r="AA46" s="41">
        <f t="shared" si="7"/>
        <v>0</v>
      </c>
      <c r="AB46" s="41">
        <f t="shared" si="7"/>
        <v>0</v>
      </c>
      <c r="AC46" s="41">
        <f t="shared" si="7"/>
        <v>0</v>
      </c>
      <c r="AD46" s="42" t="e">
        <f t="shared" si="7"/>
        <v>#REF!</v>
      </c>
      <c r="AI46" s="57"/>
    </row>
    <row r="47" spans="1:35" s="35" customFormat="1">
      <c r="A47" s="26"/>
      <c r="B47" s="18"/>
      <c r="C47" s="43"/>
      <c r="D47" s="578"/>
      <c r="E47" s="44"/>
      <c r="F47" s="44"/>
      <c r="G47" s="44"/>
      <c r="H47" s="578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578"/>
      <c r="V47" s="44"/>
      <c r="W47" s="44"/>
      <c r="X47" s="44"/>
      <c r="Y47" s="44"/>
      <c r="Z47" s="44"/>
      <c r="AA47" s="44"/>
      <c r="AB47" s="44"/>
      <c r="AC47" s="44"/>
      <c r="AD47" s="30"/>
      <c r="AI47" s="57"/>
    </row>
    <row r="48" spans="1:35" s="35" customFormat="1" ht="28">
      <c r="A48" s="26" t="s">
        <v>310</v>
      </c>
      <c r="B48" s="18"/>
      <c r="C48" s="43"/>
      <c r="D48" s="578"/>
      <c r="E48" s="44"/>
      <c r="F48" s="44"/>
      <c r="G48" s="44"/>
      <c r="H48" s="578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578"/>
      <c r="V48" s="44"/>
      <c r="W48" s="44"/>
      <c r="X48" s="44"/>
      <c r="Y48" s="44"/>
      <c r="Z48" s="44"/>
      <c r="AA48" s="44"/>
      <c r="AB48" s="44"/>
      <c r="AC48" s="44"/>
      <c r="AD48" s="30"/>
      <c r="AI48" s="57"/>
    </row>
    <row r="49" spans="1:35" s="35" customFormat="1" ht="14">
      <c r="A49" s="36" t="s">
        <v>292</v>
      </c>
      <c r="B49" s="37" t="s">
        <v>293</v>
      </c>
      <c r="C49" s="28">
        <v>0</v>
      </c>
      <c r="D49" s="49">
        <v>0</v>
      </c>
      <c r="E49" s="29">
        <v>0</v>
      </c>
      <c r="F49" s="29">
        <v>0</v>
      </c>
      <c r="G49" s="29">
        <v>0</v>
      </c>
      <c r="H49" s="4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4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30">
        <f t="shared" si="0"/>
        <v>0</v>
      </c>
      <c r="AI49" s="57"/>
    </row>
    <row r="50" spans="1:35" s="35" customFormat="1" ht="14">
      <c r="A50" s="36" t="s">
        <v>294</v>
      </c>
      <c r="B50" s="37" t="s">
        <v>295</v>
      </c>
      <c r="C50" s="28">
        <v>0</v>
      </c>
      <c r="D50" s="49">
        <v>0</v>
      </c>
      <c r="E50" s="29">
        <v>0</v>
      </c>
      <c r="F50" s="29">
        <v>0</v>
      </c>
      <c r="G50" s="29">
        <v>0</v>
      </c>
      <c r="H50" s="4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4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30">
        <f t="shared" si="0"/>
        <v>0</v>
      </c>
      <c r="AI50" s="57"/>
    </row>
    <row r="51" spans="1:35" s="35" customFormat="1" ht="14">
      <c r="A51" s="36" t="s">
        <v>296</v>
      </c>
      <c r="B51" s="37" t="s">
        <v>297</v>
      </c>
      <c r="C51" s="28">
        <v>0</v>
      </c>
      <c r="D51" s="579" t="e">
        <f>#REF!+#REF!+#REF!+#REF!+127200</f>
        <v>#REF!</v>
      </c>
      <c r="E51" s="29">
        <v>0</v>
      </c>
      <c r="F51" s="29">
        <v>0</v>
      </c>
      <c r="G51" s="29">
        <v>0</v>
      </c>
      <c r="H51" s="57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4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30" t="e">
        <f t="shared" si="0"/>
        <v>#REF!</v>
      </c>
      <c r="AI51" s="57"/>
    </row>
    <row r="52" spans="1:35" s="35" customFormat="1" ht="14">
      <c r="A52" s="36" t="s">
        <v>298</v>
      </c>
      <c r="B52" s="37" t="s">
        <v>299</v>
      </c>
      <c r="C52" s="28">
        <v>0</v>
      </c>
      <c r="D52" s="49">
        <v>0</v>
      </c>
      <c r="E52" s="29">
        <v>0</v>
      </c>
      <c r="F52" s="29">
        <v>0</v>
      </c>
      <c r="G52" s="29">
        <v>0</v>
      </c>
      <c r="H52" s="4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4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30">
        <f t="shared" si="0"/>
        <v>0</v>
      </c>
      <c r="AI52" s="57"/>
    </row>
    <row r="53" spans="1:35" s="35" customFormat="1" ht="14">
      <c r="A53" s="36" t="s">
        <v>300</v>
      </c>
      <c r="B53" s="37" t="s">
        <v>301</v>
      </c>
      <c r="C53" s="28">
        <v>0</v>
      </c>
      <c r="D53" s="49">
        <v>0</v>
      </c>
      <c r="E53" s="29">
        <v>0</v>
      </c>
      <c r="F53" s="29">
        <v>0</v>
      </c>
      <c r="G53" s="29">
        <v>0</v>
      </c>
      <c r="H53" s="4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4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30">
        <f t="shared" si="0"/>
        <v>0</v>
      </c>
      <c r="AI53" s="57"/>
    </row>
    <row r="54" spans="1:35" s="35" customFormat="1" ht="14">
      <c r="A54" s="36" t="s">
        <v>302</v>
      </c>
      <c r="B54" s="37" t="s">
        <v>303</v>
      </c>
      <c r="C54" s="28">
        <v>0</v>
      </c>
      <c r="D54" s="49">
        <v>0</v>
      </c>
      <c r="E54" s="29">
        <v>0</v>
      </c>
      <c r="F54" s="29">
        <v>0</v>
      </c>
      <c r="G54" s="29">
        <v>0</v>
      </c>
      <c r="H54" s="4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4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30">
        <f t="shared" si="0"/>
        <v>0</v>
      </c>
      <c r="AI54" s="57"/>
    </row>
    <row r="55" spans="1:35" s="35" customFormat="1" ht="14">
      <c r="A55" s="48" t="s">
        <v>311</v>
      </c>
      <c r="B55" s="39"/>
      <c r="C55" s="40">
        <f t="shared" ref="C55:AD55" si="9">SUM(C49:C54)</f>
        <v>0</v>
      </c>
      <c r="D55" s="577" t="e">
        <f t="shared" si="9"/>
        <v>#REF!</v>
      </c>
      <c r="E55" s="41">
        <f t="shared" si="9"/>
        <v>0</v>
      </c>
      <c r="F55" s="41">
        <f t="shared" si="9"/>
        <v>0</v>
      </c>
      <c r="G55" s="41">
        <f t="shared" si="9"/>
        <v>0</v>
      </c>
      <c r="H55" s="577">
        <f t="shared" si="9"/>
        <v>0</v>
      </c>
      <c r="I55" s="41">
        <f t="shared" si="9"/>
        <v>0</v>
      </c>
      <c r="J55" s="41">
        <f t="shared" ref="J55" si="10">SUM(J49:J54)</f>
        <v>0</v>
      </c>
      <c r="K55" s="41">
        <f t="shared" si="9"/>
        <v>0</v>
      </c>
      <c r="L55" s="41">
        <f t="shared" si="9"/>
        <v>0</v>
      </c>
      <c r="M55" s="41">
        <f t="shared" si="9"/>
        <v>0</v>
      </c>
      <c r="N55" s="41">
        <f t="shared" si="9"/>
        <v>0</v>
      </c>
      <c r="O55" s="41">
        <f t="shared" si="9"/>
        <v>0</v>
      </c>
      <c r="P55" s="41">
        <f t="shared" si="9"/>
        <v>0</v>
      </c>
      <c r="Q55" s="41">
        <f t="shared" si="9"/>
        <v>0</v>
      </c>
      <c r="R55" s="41">
        <f t="shared" si="9"/>
        <v>0</v>
      </c>
      <c r="S55" s="41">
        <f t="shared" si="9"/>
        <v>0</v>
      </c>
      <c r="T55" s="41">
        <f t="shared" si="9"/>
        <v>0</v>
      </c>
      <c r="U55" s="577">
        <f t="shared" si="9"/>
        <v>0</v>
      </c>
      <c r="V55" s="41">
        <f t="shared" si="9"/>
        <v>0</v>
      </c>
      <c r="W55" s="41">
        <f t="shared" si="9"/>
        <v>0</v>
      </c>
      <c r="X55" s="41">
        <f t="shared" si="9"/>
        <v>0</v>
      </c>
      <c r="Y55" s="41">
        <f t="shared" si="9"/>
        <v>0</v>
      </c>
      <c r="Z55" s="41">
        <f t="shared" si="9"/>
        <v>0</v>
      </c>
      <c r="AA55" s="41">
        <f t="shared" si="9"/>
        <v>0</v>
      </c>
      <c r="AB55" s="41">
        <f t="shared" si="9"/>
        <v>0</v>
      </c>
      <c r="AC55" s="41">
        <f t="shared" si="9"/>
        <v>0</v>
      </c>
      <c r="AD55" s="42" t="e">
        <f t="shared" si="9"/>
        <v>#REF!</v>
      </c>
      <c r="AI55" s="57"/>
    </row>
    <row r="56" spans="1:35" s="35" customFormat="1">
      <c r="A56" s="26"/>
      <c r="B56" s="18"/>
      <c r="C56" s="43"/>
      <c r="D56" s="578"/>
      <c r="E56" s="44"/>
      <c r="F56" s="44"/>
      <c r="G56" s="44"/>
      <c r="H56" s="578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578"/>
      <c r="V56" s="44"/>
      <c r="W56" s="44"/>
      <c r="X56" s="44"/>
      <c r="Y56" s="44"/>
      <c r="Z56" s="44"/>
      <c r="AA56" s="44"/>
      <c r="AB56" s="44"/>
      <c r="AC56" s="44"/>
      <c r="AD56" s="30"/>
      <c r="AI56" s="57"/>
    </row>
    <row r="57" spans="1:35" s="35" customFormat="1" ht="14">
      <c r="A57" s="26" t="s">
        <v>312</v>
      </c>
      <c r="B57" s="18"/>
      <c r="C57" s="43"/>
      <c r="D57" s="578"/>
      <c r="E57" s="44"/>
      <c r="F57" s="44"/>
      <c r="G57" s="44"/>
      <c r="H57" s="578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578"/>
      <c r="V57" s="44"/>
      <c r="W57" s="44"/>
      <c r="X57" s="44"/>
      <c r="Y57" s="44"/>
      <c r="Z57" s="44"/>
      <c r="AA57" s="44"/>
      <c r="AB57" s="44"/>
      <c r="AC57" s="44"/>
      <c r="AD57" s="30"/>
      <c r="AI57" s="57"/>
    </row>
    <row r="58" spans="1:35" s="35" customFormat="1" ht="14">
      <c r="A58" s="36" t="s">
        <v>292</v>
      </c>
      <c r="B58" s="37" t="s">
        <v>293</v>
      </c>
      <c r="C58" s="28">
        <v>0</v>
      </c>
      <c r="D58" s="49" t="e">
        <f>#REF!+#REF!</f>
        <v>#REF!</v>
      </c>
      <c r="E58" s="29">
        <v>0</v>
      </c>
      <c r="F58" s="29">
        <v>0</v>
      </c>
      <c r="G58" s="29">
        <v>0</v>
      </c>
      <c r="H58" s="4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4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0" t="e">
        <f t="shared" si="0"/>
        <v>#REF!</v>
      </c>
      <c r="AI58" s="57"/>
    </row>
    <row r="59" spans="1:35" s="35" customFormat="1" ht="14">
      <c r="A59" s="36" t="s">
        <v>294</v>
      </c>
      <c r="B59" s="37" t="s">
        <v>295</v>
      </c>
      <c r="C59" s="28">
        <v>0</v>
      </c>
      <c r="D59" s="49" t="e">
        <f>#REF!+#REF!+#REF!+#REF!+#REF!+#REF!+#REF!+#REF!+#REF!+#REF!+#REF!</f>
        <v>#REF!</v>
      </c>
      <c r="E59" s="29">
        <v>0</v>
      </c>
      <c r="F59" s="29">
        <v>0</v>
      </c>
      <c r="G59" s="29">
        <v>0</v>
      </c>
      <c r="H59" s="4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4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30" t="e">
        <f t="shared" si="0"/>
        <v>#REF!</v>
      </c>
      <c r="AI59" s="57"/>
    </row>
    <row r="60" spans="1:35" s="35" customFormat="1" ht="14">
      <c r="A60" s="36" t="s">
        <v>296</v>
      </c>
      <c r="B60" s="37" t="s">
        <v>297</v>
      </c>
      <c r="C60" s="28">
        <v>0</v>
      </c>
      <c r="D60" s="49" t="e">
        <f>#REF!+#REF!+#REF!+#REF!</f>
        <v>#REF!</v>
      </c>
      <c r="E60" s="29">
        <v>0</v>
      </c>
      <c r="F60" s="29">
        <v>0</v>
      </c>
      <c r="G60" s="29">
        <v>0</v>
      </c>
      <c r="H60" s="4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4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30" t="e">
        <f t="shared" si="0"/>
        <v>#REF!</v>
      </c>
      <c r="AI60" s="57"/>
    </row>
    <row r="61" spans="1:35" s="35" customFormat="1" ht="14">
      <c r="A61" s="36" t="s">
        <v>298</v>
      </c>
      <c r="B61" s="37" t="s">
        <v>299</v>
      </c>
      <c r="C61" s="28">
        <v>0</v>
      </c>
      <c r="D61" s="49" t="e">
        <f>#REF!+#REF!+#REF!+#REF!</f>
        <v>#REF!</v>
      </c>
      <c r="E61" s="29">
        <v>0</v>
      </c>
      <c r="F61" s="29">
        <v>0</v>
      </c>
      <c r="G61" s="29">
        <v>0</v>
      </c>
      <c r="H61" s="4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4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30" t="e">
        <f t="shared" si="0"/>
        <v>#REF!</v>
      </c>
      <c r="AI61" s="57"/>
    </row>
    <row r="62" spans="1:35" s="35" customFormat="1" ht="14">
      <c r="A62" s="36" t="s">
        <v>300</v>
      </c>
      <c r="B62" s="37" t="s">
        <v>301</v>
      </c>
      <c r="C62" s="28">
        <v>0</v>
      </c>
      <c r="D62" s="49" t="e">
        <f>#REF!+#REF!</f>
        <v>#REF!</v>
      </c>
      <c r="E62" s="29">
        <v>0</v>
      </c>
      <c r="F62" s="29">
        <v>0</v>
      </c>
      <c r="G62" s="29">
        <v>0</v>
      </c>
      <c r="H62" s="4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4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30" t="e">
        <f t="shared" si="0"/>
        <v>#REF!</v>
      </c>
      <c r="AI62" s="57"/>
    </row>
    <row r="63" spans="1:35" s="35" customFormat="1" ht="14">
      <c r="A63" s="36" t="s">
        <v>302</v>
      </c>
      <c r="B63" s="37" t="s">
        <v>303</v>
      </c>
      <c r="C63" s="28">
        <v>0</v>
      </c>
      <c r="D63" s="49" t="e">
        <f>#REF!</f>
        <v>#REF!</v>
      </c>
      <c r="E63" s="29">
        <v>0</v>
      </c>
      <c r="F63" s="29">
        <v>0</v>
      </c>
      <c r="G63" s="29">
        <v>0</v>
      </c>
      <c r="H63" s="4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4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30" t="e">
        <f t="shared" si="0"/>
        <v>#REF!</v>
      </c>
      <c r="AI63" s="57"/>
    </row>
    <row r="64" spans="1:35" s="35" customFormat="1" ht="14">
      <c r="A64" s="48" t="s">
        <v>311</v>
      </c>
      <c r="B64" s="39"/>
      <c r="C64" s="40">
        <f t="shared" ref="C64:AD64" si="11">SUM(C58:C63)</f>
        <v>0</v>
      </c>
      <c r="D64" s="577" t="e">
        <f t="shared" si="11"/>
        <v>#REF!</v>
      </c>
      <c r="E64" s="41">
        <f t="shared" si="11"/>
        <v>0</v>
      </c>
      <c r="F64" s="41">
        <f t="shared" si="11"/>
        <v>0</v>
      </c>
      <c r="G64" s="41">
        <f t="shared" si="11"/>
        <v>0</v>
      </c>
      <c r="H64" s="577">
        <f t="shared" si="11"/>
        <v>0</v>
      </c>
      <c r="I64" s="41">
        <f t="shared" si="11"/>
        <v>0</v>
      </c>
      <c r="J64" s="41">
        <f t="shared" ref="J64" si="12">SUM(J58:J63)</f>
        <v>0</v>
      </c>
      <c r="K64" s="41">
        <f t="shared" si="11"/>
        <v>0</v>
      </c>
      <c r="L64" s="41">
        <f t="shared" si="11"/>
        <v>0</v>
      </c>
      <c r="M64" s="41">
        <f t="shared" si="11"/>
        <v>0</v>
      </c>
      <c r="N64" s="41">
        <f t="shared" si="11"/>
        <v>0</v>
      </c>
      <c r="O64" s="41">
        <f t="shared" si="11"/>
        <v>0</v>
      </c>
      <c r="P64" s="41">
        <f t="shared" si="11"/>
        <v>0</v>
      </c>
      <c r="Q64" s="41">
        <f t="shared" si="11"/>
        <v>0</v>
      </c>
      <c r="R64" s="41">
        <f t="shared" si="11"/>
        <v>0</v>
      </c>
      <c r="S64" s="41">
        <f t="shared" si="11"/>
        <v>0</v>
      </c>
      <c r="T64" s="41">
        <f t="shared" si="11"/>
        <v>0</v>
      </c>
      <c r="U64" s="577">
        <f t="shared" si="11"/>
        <v>0</v>
      </c>
      <c r="V64" s="41">
        <f t="shared" si="11"/>
        <v>0</v>
      </c>
      <c r="W64" s="41">
        <f t="shared" si="11"/>
        <v>0</v>
      </c>
      <c r="X64" s="41">
        <f t="shared" si="11"/>
        <v>0</v>
      </c>
      <c r="Y64" s="41">
        <f t="shared" si="11"/>
        <v>0</v>
      </c>
      <c r="Z64" s="41">
        <f t="shared" si="11"/>
        <v>0</v>
      </c>
      <c r="AA64" s="41">
        <f t="shared" si="11"/>
        <v>0</v>
      </c>
      <c r="AB64" s="41">
        <f t="shared" si="11"/>
        <v>0</v>
      </c>
      <c r="AC64" s="41">
        <f t="shared" si="11"/>
        <v>0</v>
      </c>
      <c r="AD64" s="42" t="e">
        <f t="shared" si="11"/>
        <v>#REF!</v>
      </c>
      <c r="AI64" s="57"/>
    </row>
    <row r="65" spans="1:35" s="35" customFormat="1">
      <c r="A65" s="26"/>
      <c r="B65" s="18"/>
      <c r="C65" s="43"/>
      <c r="D65" s="578"/>
      <c r="E65" s="44"/>
      <c r="F65" s="44"/>
      <c r="G65" s="44"/>
      <c r="H65" s="578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578"/>
      <c r="V65" s="44"/>
      <c r="W65" s="44"/>
      <c r="X65" s="44"/>
      <c r="Y65" s="44"/>
      <c r="Z65" s="44"/>
      <c r="AA65" s="44"/>
      <c r="AB65" s="44"/>
      <c r="AC65" s="44"/>
      <c r="AD65" s="30"/>
      <c r="AI65" s="57"/>
    </row>
    <row r="66" spans="1:35" s="35" customFormat="1" ht="28">
      <c r="A66" s="26" t="s">
        <v>313</v>
      </c>
      <c r="B66" s="18"/>
      <c r="C66" s="43"/>
      <c r="D66" s="578"/>
      <c r="E66" s="44"/>
      <c r="F66" s="44"/>
      <c r="G66" s="44"/>
      <c r="H66" s="578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578"/>
      <c r="V66" s="44"/>
      <c r="W66" s="44"/>
      <c r="X66" s="44"/>
      <c r="Y66" s="44"/>
      <c r="Z66" s="44"/>
      <c r="AA66" s="44"/>
      <c r="AB66" s="44"/>
      <c r="AC66" s="44"/>
      <c r="AD66" s="30"/>
      <c r="AI66" s="57"/>
    </row>
    <row r="67" spans="1:35" s="35" customFormat="1" ht="14">
      <c r="A67" s="36" t="s">
        <v>292</v>
      </c>
      <c r="B67" s="37" t="s">
        <v>293</v>
      </c>
      <c r="C67" s="28">
        <v>0</v>
      </c>
      <c r="D67" s="49">
        <v>0</v>
      </c>
      <c r="E67" s="29">
        <v>0</v>
      </c>
      <c r="F67" s="29">
        <v>0</v>
      </c>
      <c r="G67" s="29">
        <v>0</v>
      </c>
      <c r="H67" s="4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4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30">
        <f t="shared" si="0"/>
        <v>0</v>
      </c>
      <c r="AI67" s="57"/>
    </row>
    <row r="68" spans="1:35" s="35" customFormat="1" ht="14">
      <c r="A68" s="36" t="s">
        <v>294</v>
      </c>
      <c r="B68" s="37" t="s">
        <v>295</v>
      </c>
      <c r="C68" s="28">
        <v>0</v>
      </c>
      <c r="D68" s="49">
        <v>0</v>
      </c>
      <c r="E68" s="29">
        <v>0</v>
      </c>
      <c r="F68" s="29">
        <v>0</v>
      </c>
      <c r="G68" s="29">
        <v>0</v>
      </c>
      <c r="H68" s="4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4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30">
        <f t="shared" ref="AD68:AD131" si="13">SUM(C68:AC68)</f>
        <v>0</v>
      </c>
      <c r="AI68" s="57"/>
    </row>
    <row r="69" spans="1:35" s="35" customFormat="1" ht="14">
      <c r="A69" s="36" t="s">
        <v>296</v>
      </c>
      <c r="B69" s="37" t="s">
        <v>297</v>
      </c>
      <c r="C69" s="28">
        <v>0</v>
      </c>
      <c r="D69" s="49" t="e">
        <f>#REF!+#REF!+#REF!</f>
        <v>#REF!</v>
      </c>
      <c r="E69" s="29">
        <v>0</v>
      </c>
      <c r="F69" s="29">
        <v>0</v>
      </c>
      <c r="G69" s="29">
        <v>0</v>
      </c>
      <c r="H69" s="4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4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30" t="e">
        <f t="shared" si="13"/>
        <v>#REF!</v>
      </c>
      <c r="AI69" s="57"/>
    </row>
    <row r="70" spans="1:35" s="35" customFormat="1" ht="14">
      <c r="A70" s="36" t="s">
        <v>298</v>
      </c>
      <c r="B70" s="37" t="s">
        <v>299</v>
      </c>
      <c r="C70" s="28">
        <v>0</v>
      </c>
      <c r="D70" s="49">
        <v>0</v>
      </c>
      <c r="E70" s="29">
        <v>0</v>
      </c>
      <c r="F70" s="29">
        <v>0</v>
      </c>
      <c r="G70" s="29">
        <v>0</v>
      </c>
      <c r="H70" s="4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4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30">
        <f t="shared" si="13"/>
        <v>0</v>
      </c>
      <c r="AI70" s="57"/>
    </row>
    <row r="71" spans="1:35" s="35" customFormat="1" ht="14">
      <c r="A71" s="36" t="s">
        <v>300</v>
      </c>
      <c r="B71" s="37" t="s">
        <v>301</v>
      </c>
      <c r="C71" s="28">
        <v>0</v>
      </c>
      <c r="D71" s="49">
        <v>0</v>
      </c>
      <c r="E71" s="29">
        <v>0</v>
      </c>
      <c r="F71" s="29">
        <v>0</v>
      </c>
      <c r="G71" s="29">
        <v>0</v>
      </c>
      <c r="H71" s="4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4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30">
        <f t="shared" si="13"/>
        <v>0</v>
      </c>
      <c r="AI71" s="57"/>
    </row>
    <row r="72" spans="1:35" s="35" customFormat="1" ht="14">
      <c r="A72" s="36" t="s">
        <v>302</v>
      </c>
      <c r="B72" s="37" t="s">
        <v>303</v>
      </c>
      <c r="C72" s="28">
        <v>0</v>
      </c>
      <c r="D72" s="49">
        <v>0</v>
      </c>
      <c r="E72" s="29">
        <v>0</v>
      </c>
      <c r="F72" s="29">
        <v>0</v>
      </c>
      <c r="G72" s="29">
        <v>0</v>
      </c>
      <c r="H72" s="4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4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30">
        <f t="shared" si="13"/>
        <v>0</v>
      </c>
      <c r="AI72" s="57"/>
    </row>
    <row r="73" spans="1:35" s="35" customFormat="1" ht="14">
      <c r="A73" s="48" t="s">
        <v>314</v>
      </c>
      <c r="B73" s="39"/>
      <c r="C73" s="40">
        <f t="shared" ref="C73:AD73" si="14">SUM(C67:C72)</f>
        <v>0</v>
      </c>
      <c r="D73" s="577" t="e">
        <f t="shared" si="14"/>
        <v>#REF!</v>
      </c>
      <c r="E73" s="41">
        <f t="shared" si="14"/>
        <v>0</v>
      </c>
      <c r="F73" s="41">
        <f t="shared" si="14"/>
        <v>0</v>
      </c>
      <c r="G73" s="41">
        <f t="shared" si="14"/>
        <v>0</v>
      </c>
      <c r="H73" s="577">
        <f t="shared" si="14"/>
        <v>0</v>
      </c>
      <c r="I73" s="41">
        <f t="shared" si="14"/>
        <v>0</v>
      </c>
      <c r="J73" s="41">
        <f t="shared" si="14"/>
        <v>0</v>
      </c>
      <c r="K73" s="41">
        <f t="shared" si="14"/>
        <v>0</v>
      </c>
      <c r="L73" s="41">
        <f t="shared" si="14"/>
        <v>0</v>
      </c>
      <c r="M73" s="41">
        <f t="shared" si="14"/>
        <v>0</v>
      </c>
      <c r="N73" s="41">
        <f t="shared" si="14"/>
        <v>0</v>
      </c>
      <c r="O73" s="41">
        <f t="shared" si="14"/>
        <v>0</v>
      </c>
      <c r="P73" s="41">
        <f t="shared" si="14"/>
        <v>0</v>
      </c>
      <c r="Q73" s="41">
        <f t="shared" si="14"/>
        <v>0</v>
      </c>
      <c r="R73" s="41">
        <f t="shared" si="14"/>
        <v>0</v>
      </c>
      <c r="S73" s="41">
        <f t="shared" si="14"/>
        <v>0</v>
      </c>
      <c r="T73" s="41">
        <f t="shared" si="14"/>
        <v>0</v>
      </c>
      <c r="U73" s="577">
        <f t="shared" si="14"/>
        <v>0</v>
      </c>
      <c r="V73" s="41">
        <f t="shared" si="14"/>
        <v>0</v>
      </c>
      <c r="W73" s="41">
        <f t="shared" si="14"/>
        <v>0</v>
      </c>
      <c r="X73" s="41">
        <f t="shared" si="14"/>
        <v>0</v>
      </c>
      <c r="Y73" s="41">
        <f t="shared" si="14"/>
        <v>0</v>
      </c>
      <c r="Z73" s="41">
        <f t="shared" si="14"/>
        <v>0</v>
      </c>
      <c r="AA73" s="41">
        <f t="shared" si="14"/>
        <v>0</v>
      </c>
      <c r="AB73" s="41">
        <f t="shared" si="14"/>
        <v>0</v>
      </c>
      <c r="AC73" s="41">
        <f t="shared" si="14"/>
        <v>0</v>
      </c>
      <c r="AD73" s="42" t="e">
        <f t="shared" si="14"/>
        <v>#REF!</v>
      </c>
      <c r="AI73" s="57"/>
    </row>
    <row r="74" spans="1:35" s="35" customFormat="1" ht="14">
      <c r="A74" s="26" t="s">
        <v>315</v>
      </c>
      <c r="B74" s="18"/>
      <c r="C74" s="43"/>
      <c r="D74" s="578"/>
      <c r="E74" s="44"/>
      <c r="F74" s="44"/>
      <c r="G74" s="44"/>
      <c r="H74" s="578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578"/>
      <c r="V74" s="44"/>
      <c r="W74" s="44"/>
      <c r="X74" s="44"/>
      <c r="Y74" s="44"/>
      <c r="Z74" s="44"/>
      <c r="AA74" s="44"/>
      <c r="AB74" s="44"/>
      <c r="AC74" s="44"/>
      <c r="AD74" s="30"/>
      <c r="AI74" s="57"/>
    </row>
    <row r="75" spans="1:35" s="35" customFormat="1" ht="14">
      <c r="A75" s="36" t="s">
        <v>292</v>
      </c>
      <c r="B75" s="37" t="s">
        <v>293</v>
      </c>
      <c r="C75" s="28">
        <v>0</v>
      </c>
      <c r="D75" s="49" t="e">
        <f>#REF!</f>
        <v>#REF!</v>
      </c>
      <c r="E75" s="29">
        <v>0</v>
      </c>
      <c r="F75" s="29">
        <v>0</v>
      </c>
      <c r="G75" s="29">
        <v>0</v>
      </c>
      <c r="H75" s="4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4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30" t="e">
        <f t="shared" si="13"/>
        <v>#REF!</v>
      </c>
      <c r="AI75" s="57"/>
    </row>
    <row r="76" spans="1:35" s="35" customFormat="1" ht="14">
      <c r="A76" s="36" t="s">
        <v>294</v>
      </c>
      <c r="B76" s="37" t="s">
        <v>295</v>
      </c>
      <c r="C76" s="28">
        <v>0</v>
      </c>
      <c r="D76" s="49" t="e">
        <f>#REF!+#REF!+#REF!+#REF!+#REF!</f>
        <v>#REF!</v>
      </c>
      <c r="E76" s="29">
        <v>0</v>
      </c>
      <c r="F76" s="29">
        <v>0</v>
      </c>
      <c r="G76" s="29">
        <v>0</v>
      </c>
      <c r="H76" s="4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4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29">
        <v>0</v>
      </c>
      <c r="AC76" s="29">
        <v>0</v>
      </c>
      <c r="AD76" s="30" t="e">
        <f t="shared" si="13"/>
        <v>#REF!</v>
      </c>
      <c r="AI76" s="57"/>
    </row>
    <row r="77" spans="1:35" s="35" customFormat="1" ht="14">
      <c r="A77" s="36" t="s">
        <v>296</v>
      </c>
      <c r="B77" s="37" t="s">
        <v>297</v>
      </c>
      <c r="C77" s="28">
        <v>0</v>
      </c>
      <c r="D77" s="49" t="e">
        <f>#REF!</f>
        <v>#REF!</v>
      </c>
      <c r="E77" s="29">
        <v>0</v>
      </c>
      <c r="F77" s="29">
        <v>0</v>
      </c>
      <c r="G77" s="29">
        <v>0</v>
      </c>
      <c r="H77" s="49" t="e">
        <f>#REF!</f>
        <v>#REF!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49" t="e">
        <f>-#REF!</f>
        <v>#REF!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30" t="e">
        <f t="shared" si="13"/>
        <v>#REF!</v>
      </c>
      <c r="AI77" s="57"/>
    </row>
    <row r="78" spans="1:35" s="35" customFormat="1" ht="14">
      <c r="A78" s="36" t="s">
        <v>298</v>
      </c>
      <c r="B78" s="37" t="s">
        <v>299</v>
      </c>
      <c r="C78" s="28">
        <v>0</v>
      </c>
      <c r="D78" s="49" t="e">
        <f>#REF!+#REF!+#REF!+#REF!</f>
        <v>#REF!</v>
      </c>
      <c r="E78" s="29">
        <v>0</v>
      </c>
      <c r="F78" s="29">
        <v>0</v>
      </c>
      <c r="G78" s="29">
        <v>0</v>
      </c>
      <c r="H78" s="4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4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30" t="e">
        <f t="shared" si="13"/>
        <v>#REF!</v>
      </c>
      <c r="AI78" s="57"/>
    </row>
    <row r="79" spans="1:35" s="35" customFormat="1" ht="14">
      <c r="A79" s="36" t="s">
        <v>300</v>
      </c>
      <c r="B79" s="37" t="s">
        <v>301</v>
      </c>
      <c r="C79" s="28">
        <v>0</v>
      </c>
      <c r="D79" s="49" t="e">
        <f>#REF!+#REF!</f>
        <v>#REF!</v>
      </c>
      <c r="E79" s="29">
        <v>0</v>
      </c>
      <c r="F79" s="29">
        <v>0</v>
      </c>
      <c r="G79" s="29">
        <v>0</v>
      </c>
      <c r="H79" s="4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4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30" t="e">
        <f t="shared" si="13"/>
        <v>#REF!</v>
      </c>
      <c r="AI79" s="57"/>
    </row>
    <row r="80" spans="1:35" s="35" customFormat="1" ht="14">
      <c r="A80" s="36" t="s">
        <v>302</v>
      </c>
      <c r="B80" s="37" t="s">
        <v>303</v>
      </c>
      <c r="C80" s="28">
        <v>0</v>
      </c>
      <c r="D80" s="49"/>
      <c r="E80" s="29">
        <v>0</v>
      </c>
      <c r="F80" s="29">
        <v>0</v>
      </c>
      <c r="G80" s="29">
        <v>0</v>
      </c>
      <c r="H80" s="4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49" t="e">
        <f>-#REF!-#REF!</f>
        <v>#REF!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30" t="e">
        <f t="shared" si="13"/>
        <v>#REF!</v>
      </c>
      <c r="AI80" s="57"/>
    </row>
    <row r="81" spans="1:35" s="35" customFormat="1" ht="14">
      <c r="A81" s="48" t="s">
        <v>316</v>
      </c>
      <c r="B81" s="39"/>
      <c r="C81" s="40">
        <f t="shared" ref="C81:AD81" si="15">SUM(C75:C80)</f>
        <v>0</v>
      </c>
      <c r="D81" s="577" t="e">
        <f t="shared" si="15"/>
        <v>#REF!</v>
      </c>
      <c r="E81" s="41">
        <f t="shared" si="15"/>
        <v>0</v>
      </c>
      <c r="F81" s="41">
        <f t="shared" si="15"/>
        <v>0</v>
      </c>
      <c r="G81" s="41">
        <f t="shared" si="15"/>
        <v>0</v>
      </c>
      <c r="H81" s="577" t="e">
        <f t="shared" si="15"/>
        <v>#REF!</v>
      </c>
      <c r="I81" s="41">
        <f t="shared" si="15"/>
        <v>0</v>
      </c>
      <c r="J81" s="41">
        <f t="shared" ref="J81" si="16">SUM(J75:J80)</f>
        <v>0</v>
      </c>
      <c r="K81" s="41">
        <f t="shared" si="15"/>
        <v>0</v>
      </c>
      <c r="L81" s="41">
        <f t="shared" si="15"/>
        <v>0</v>
      </c>
      <c r="M81" s="41">
        <f t="shared" si="15"/>
        <v>0</v>
      </c>
      <c r="N81" s="41">
        <f t="shared" si="15"/>
        <v>0</v>
      </c>
      <c r="O81" s="41">
        <f t="shared" si="15"/>
        <v>0</v>
      </c>
      <c r="P81" s="41">
        <f t="shared" si="15"/>
        <v>0</v>
      </c>
      <c r="Q81" s="41">
        <f t="shared" si="15"/>
        <v>0</v>
      </c>
      <c r="R81" s="41">
        <f t="shared" si="15"/>
        <v>0</v>
      </c>
      <c r="S81" s="41">
        <f t="shared" si="15"/>
        <v>0</v>
      </c>
      <c r="T81" s="41">
        <f t="shared" si="15"/>
        <v>0</v>
      </c>
      <c r="U81" s="577" t="e">
        <f t="shared" si="15"/>
        <v>#REF!</v>
      </c>
      <c r="V81" s="41">
        <f t="shared" si="15"/>
        <v>0</v>
      </c>
      <c r="W81" s="41">
        <f t="shared" si="15"/>
        <v>0</v>
      </c>
      <c r="X81" s="41">
        <f t="shared" si="15"/>
        <v>0</v>
      </c>
      <c r="Y81" s="41">
        <f t="shared" si="15"/>
        <v>0</v>
      </c>
      <c r="Z81" s="41">
        <f t="shared" si="15"/>
        <v>0</v>
      </c>
      <c r="AA81" s="41">
        <f t="shared" si="15"/>
        <v>0</v>
      </c>
      <c r="AB81" s="41">
        <f t="shared" si="15"/>
        <v>0</v>
      </c>
      <c r="AC81" s="41">
        <f t="shared" si="15"/>
        <v>0</v>
      </c>
      <c r="AD81" s="42" t="e">
        <f t="shared" si="15"/>
        <v>#REF!</v>
      </c>
      <c r="AI81" s="57"/>
    </row>
    <row r="82" spans="1:35" s="35" customFormat="1" hidden="1">
      <c r="A82" s="26"/>
      <c r="B82" s="18"/>
      <c r="C82" s="43"/>
      <c r="D82" s="578"/>
      <c r="E82" s="44"/>
      <c r="F82" s="44"/>
      <c r="G82" s="44"/>
      <c r="H82" s="578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578"/>
      <c r="V82" s="44"/>
      <c r="W82" s="44"/>
      <c r="X82" s="44"/>
      <c r="Y82" s="44"/>
      <c r="Z82" s="44"/>
      <c r="AA82" s="44"/>
      <c r="AB82" s="44"/>
      <c r="AC82" s="44"/>
      <c r="AD82" s="30"/>
      <c r="AI82" s="57"/>
    </row>
    <row r="83" spans="1:35" s="35" customFormat="1" ht="14" hidden="1">
      <c r="A83" s="26" t="s">
        <v>317</v>
      </c>
      <c r="B83" s="18"/>
      <c r="C83" s="43"/>
      <c r="D83" s="578"/>
      <c r="E83" s="44"/>
      <c r="F83" s="44"/>
      <c r="G83" s="44"/>
      <c r="H83" s="578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578"/>
      <c r="V83" s="44"/>
      <c r="W83" s="44"/>
      <c r="X83" s="44"/>
      <c r="Y83" s="44"/>
      <c r="Z83" s="44"/>
      <c r="AA83" s="44"/>
      <c r="AB83" s="44"/>
      <c r="AC83" s="44"/>
      <c r="AD83" s="30"/>
      <c r="AI83" s="57"/>
    </row>
    <row r="84" spans="1:35" s="35" customFormat="1" ht="14" hidden="1">
      <c r="A84" s="36" t="s">
        <v>292</v>
      </c>
      <c r="B84" s="37" t="s">
        <v>293</v>
      </c>
      <c r="C84" s="28">
        <v>0</v>
      </c>
      <c r="D84" s="49">
        <v>0</v>
      </c>
      <c r="E84" s="29">
        <v>0</v>
      </c>
      <c r="F84" s="29">
        <v>0</v>
      </c>
      <c r="G84" s="29">
        <v>0</v>
      </c>
      <c r="H84" s="4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4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s="30">
        <f t="shared" si="13"/>
        <v>0</v>
      </c>
      <c r="AI84" s="57"/>
    </row>
    <row r="85" spans="1:35" s="35" customFormat="1" ht="14" hidden="1">
      <c r="A85" s="36" t="s">
        <v>294</v>
      </c>
      <c r="B85" s="37" t="s">
        <v>295</v>
      </c>
      <c r="C85" s="28">
        <v>0</v>
      </c>
      <c r="D85" s="49">
        <v>0</v>
      </c>
      <c r="E85" s="29">
        <v>0</v>
      </c>
      <c r="F85" s="29">
        <v>0</v>
      </c>
      <c r="G85" s="29">
        <v>0</v>
      </c>
      <c r="H85" s="4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4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29">
        <v>0</v>
      </c>
      <c r="AD85" s="30">
        <f t="shared" si="13"/>
        <v>0</v>
      </c>
      <c r="AI85" s="57"/>
    </row>
    <row r="86" spans="1:35" s="35" customFormat="1" ht="14" hidden="1">
      <c r="A86" s="36" t="s">
        <v>296</v>
      </c>
      <c r="B86" s="37" t="s">
        <v>297</v>
      </c>
      <c r="C86" s="28">
        <v>0</v>
      </c>
      <c r="D86" s="49">
        <v>0</v>
      </c>
      <c r="E86" s="29">
        <v>0</v>
      </c>
      <c r="F86" s="29">
        <v>0</v>
      </c>
      <c r="G86" s="29">
        <v>0</v>
      </c>
      <c r="H86" s="4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4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30">
        <f t="shared" si="13"/>
        <v>0</v>
      </c>
      <c r="AI86" s="57"/>
    </row>
    <row r="87" spans="1:35" s="35" customFormat="1" ht="14" hidden="1">
      <c r="A87" s="36" t="s">
        <v>298</v>
      </c>
      <c r="B87" s="37" t="s">
        <v>299</v>
      </c>
      <c r="C87" s="28">
        <v>0</v>
      </c>
      <c r="D87" s="49">
        <v>0</v>
      </c>
      <c r="E87" s="29">
        <v>0</v>
      </c>
      <c r="F87" s="29">
        <v>0</v>
      </c>
      <c r="G87" s="29">
        <v>0</v>
      </c>
      <c r="H87" s="4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4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0</v>
      </c>
      <c r="AC87" s="29">
        <v>0</v>
      </c>
      <c r="AD87" s="30">
        <f t="shared" si="13"/>
        <v>0</v>
      </c>
      <c r="AI87" s="57"/>
    </row>
    <row r="88" spans="1:35" s="35" customFormat="1" ht="14" hidden="1">
      <c r="A88" s="36" t="s">
        <v>300</v>
      </c>
      <c r="B88" s="37" t="s">
        <v>301</v>
      </c>
      <c r="C88" s="28">
        <v>0</v>
      </c>
      <c r="D88" s="49">
        <v>0</v>
      </c>
      <c r="E88" s="29">
        <v>0</v>
      </c>
      <c r="F88" s="29">
        <v>0</v>
      </c>
      <c r="G88" s="29">
        <v>0</v>
      </c>
      <c r="H88" s="4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4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30">
        <f t="shared" si="13"/>
        <v>0</v>
      </c>
      <c r="AI88" s="57"/>
    </row>
    <row r="89" spans="1:35" s="35" customFormat="1" ht="14" hidden="1">
      <c r="A89" s="36" t="s">
        <v>302</v>
      </c>
      <c r="B89" s="37" t="s">
        <v>303</v>
      </c>
      <c r="C89" s="28">
        <v>0</v>
      </c>
      <c r="D89" s="49">
        <v>0</v>
      </c>
      <c r="E89" s="29">
        <v>0</v>
      </c>
      <c r="F89" s="29">
        <v>0</v>
      </c>
      <c r="G89" s="29">
        <v>0</v>
      </c>
      <c r="H89" s="4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4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s="30">
        <f t="shared" si="13"/>
        <v>0</v>
      </c>
      <c r="AI89" s="57"/>
    </row>
    <row r="90" spans="1:35" s="35" customFormat="1" ht="14" hidden="1">
      <c r="A90" s="48" t="s">
        <v>318</v>
      </c>
      <c r="B90" s="39"/>
      <c r="C90" s="40">
        <f t="shared" ref="C90:AD90" si="17">SUM(C84:C89)</f>
        <v>0</v>
      </c>
      <c r="D90" s="577">
        <f t="shared" si="17"/>
        <v>0</v>
      </c>
      <c r="E90" s="41">
        <f t="shared" si="17"/>
        <v>0</v>
      </c>
      <c r="F90" s="41">
        <f t="shared" si="17"/>
        <v>0</v>
      </c>
      <c r="G90" s="41">
        <f t="shared" si="17"/>
        <v>0</v>
      </c>
      <c r="H90" s="577">
        <f t="shared" si="17"/>
        <v>0</v>
      </c>
      <c r="I90" s="41">
        <f t="shared" si="17"/>
        <v>0</v>
      </c>
      <c r="J90" s="41">
        <f t="shared" si="17"/>
        <v>0</v>
      </c>
      <c r="K90" s="41">
        <f t="shared" si="17"/>
        <v>0</v>
      </c>
      <c r="L90" s="41">
        <f t="shared" si="17"/>
        <v>0</v>
      </c>
      <c r="M90" s="41">
        <f t="shared" si="17"/>
        <v>0</v>
      </c>
      <c r="N90" s="41">
        <f t="shared" si="17"/>
        <v>0</v>
      </c>
      <c r="O90" s="41">
        <f t="shared" si="17"/>
        <v>0</v>
      </c>
      <c r="P90" s="41">
        <f t="shared" si="17"/>
        <v>0</v>
      </c>
      <c r="Q90" s="41">
        <f t="shared" si="17"/>
        <v>0</v>
      </c>
      <c r="R90" s="41">
        <f t="shared" si="17"/>
        <v>0</v>
      </c>
      <c r="S90" s="41">
        <f t="shared" si="17"/>
        <v>0</v>
      </c>
      <c r="T90" s="41">
        <f t="shared" si="17"/>
        <v>0</v>
      </c>
      <c r="U90" s="577">
        <f t="shared" si="17"/>
        <v>0</v>
      </c>
      <c r="V90" s="41">
        <f t="shared" si="17"/>
        <v>0</v>
      </c>
      <c r="W90" s="41">
        <f t="shared" si="17"/>
        <v>0</v>
      </c>
      <c r="X90" s="41">
        <f t="shared" si="17"/>
        <v>0</v>
      </c>
      <c r="Y90" s="41">
        <f t="shared" si="17"/>
        <v>0</v>
      </c>
      <c r="Z90" s="41">
        <f t="shared" si="17"/>
        <v>0</v>
      </c>
      <c r="AA90" s="41">
        <f t="shared" si="17"/>
        <v>0</v>
      </c>
      <c r="AB90" s="41">
        <f t="shared" si="17"/>
        <v>0</v>
      </c>
      <c r="AC90" s="41">
        <f t="shared" si="17"/>
        <v>0</v>
      </c>
      <c r="AD90" s="42">
        <f t="shared" si="17"/>
        <v>0</v>
      </c>
      <c r="AI90" s="57"/>
    </row>
    <row r="91" spans="1:35" s="35" customFormat="1">
      <c r="A91" s="26"/>
      <c r="B91" s="18"/>
      <c r="C91" s="43"/>
      <c r="D91" s="578"/>
      <c r="E91" s="44"/>
      <c r="F91" s="44"/>
      <c r="G91" s="44"/>
      <c r="H91" s="578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578"/>
      <c r="V91" s="44"/>
      <c r="W91" s="44"/>
      <c r="X91" s="44"/>
      <c r="Y91" s="44"/>
      <c r="Z91" s="44"/>
      <c r="AA91" s="44"/>
      <c r="AB91" s="44"/>
      <c r="AC91" s="44"/>
      <c r="AD91" s="30"/>
      <c r="AI91" s="57"/>
    </row>
    <row r="92" spans="1:35" s="35" customFormat="1" ht="28">
      <c r="A92" s="26" t="s">
        <v>319</v>
      </c>
      <c r="B92" s="18"/>
      <c r="C92" s="43"/>
      <c r="D92" s="578"/>
      <c r="E92" s="44"/>
      <c r="F92" s="44"/>
      <c r="G92" s="44"/>
      <c r="H92" s="578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578"/>
      <c r="V92" s="44"/>
      <c r="W92" s="44"/>
      <c r="X92" s="44"/>
      <c r="Y92" s="44"/>
      <c r="Z92" s="44"/>
      <c r="AA92" s="44"/>
      <c r="AB92" s="44"/>
      <c r="AC92" s="44"/>
      <c r="AD92" s="30"/>
      <c r="AI92" s="57"/>
    </row>
    <row r="93" spans="1:35" s="35" customFormat="1" ht="14">
      <c r="A93" s="36" t="s">
        <v>292</v>
      </c>
      <c r="B93" s="37" t="s">
        <v>293</v>
      </c>
      <c r="C93" s="28">
        <v>0</v>
      </c>
      <c r="D93" s="49">
        <v>0</v>
      </c>
      <c r="E93" s="29">
        <v>0</v>
      </c>
      <c r="F93" s="29">
        <v>0</v>
      </c>
      <c r="G93" s="29">
        <v>0</v>
      </c>
      <c r="H93" s="4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49">
        <v>0</v>
      </c>
      <c r="V93" s="29">
        <v>0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0</v>
      </c>
      <c r="AC93" s="29">
        <v>0</v>
      </c>
      <c r="AD93" s="30">
        <f t="shared" si="13"/>
        <v>0</v>
      </c>
      <c r="AI93" s="57"/>
    </row>
    <row r="94" spans="1:35" s="35" customFormat="1" ht="14">
      <c r="A94" s="36" t="s">
        <v>294</v>
      </c>
      <c r="B94" s="37" t="s">
        <v>295</v>
      </c>
      <c r="C94" s="28">
        <v>0</v>
      </c>
      <c r="D94" s="49">
        <v>0</v>
      </c>
      <c r="E94" s="29">
        <v>0</v>
      </c>
      <c r="F94" s="29">
        <v>0</v>
      </c>
      <c r="G94" s="29">
        <v>0</v>
      </c>
      <c r="H94" s="4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29">
        <v>0</v>
      </c>
      <c r="U94" s="49">
        <v>0</v>
      </c>
      <c r="V94" s="29">
        <v>0</v>
      </c>
      <c r="W94" s="29">
        <v>0</v>
      </c>
      <c r="X94" s="29">
        <v>0</v>
      </c>
      <c r="Y94" s="29">
        <v>0</v>
      </c>
      <c r="Z94" s="29">
        <v>0</v>
      </c>
      <c r="AA94" s="29">
        <v>0</v>
      </c>
      <c r="AB94" s="29">
        <v>0</v>
      </c>
      <c r="AC94" s="29">
        <v>0</v>
      </c>
      <c r="AD94" s="30">
        <f t="shared" si="13"/>
        <v>0</v>
      </c>
      <c r="AI94" s="57"/>
    </row>
    <row r="95" spans="1:35" s="35" customFormat="1" ht="14">
      <c r="A95" s="36" t="s">
        <v>296</v>
      </c>
      <c r="B95" s="37" t="s">
        <v>297</v>
      </c>
      <c r="C95" s="28">
        <v>0</v>
      </c>
      <c r="D95" s="49" t="e">
        <f>#REF!+#REF!+#REF!+#REF!+#REF!+#REF!+#REF!+#REF!</f>
        <v>#REF!</v>
      </c>
      <c r="E95" s="29">
        <v>0</v>
      </c>
      <c r="F95" s="29">
        <v>0</v>
      </c>
      <c r="G95" s="29">
        <v>0</v>
      </c>
      <c r="H95" s="4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4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30" t="e">
        <f t="shared" si="13"/>
        <v>#REF!</v>
      </c>
      <c r="AI95" s="57"/>
    </row>
    <row r="96" spans="1:35" s="35" customFormat="1" ht="14">
      <c r="A96" s="36" t="s">
        <v>298</v>
      </c>
      <c r="B96" s="37" t="s">
        <v>299</v>
      </c>
      <c r="C96" s="28">
        <v>0</v>
      </c>
      <c r="D96" s="49">
        <v>0</v>
      </c>
      <c r="E96" s="29">
        <v>0</v>
      </c>
      <c r="F96" s="29">
        <v>0</v>
      </c>
      <c r="G96" s="29">
        <v>0</v>
      </c>
      <c r="H96" s="4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4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30">
        <f t="shared" si="13"/>
        <v>0</v>
      </c>
      <c r="AI96" s="57"/>
    </row>
    <row r="97" spans="1:35" s="35" customFormat="1" ht="14">
      <c r="A97" s="36" t="s">
        <v>300</v>
      </c>
      <c r="B97" s="37" t="s">
        <v>301</v>
      </c>
      <c r="C97" s="28">
        <v>0</v>
      </c>
      <c r="D97" s="49">
        <v>0</v>
      </c>
      <c r="E97" s="29">
        <v>0</v>
      </c>
      <c r="F97" s="29">
        <v>0</v>
      </c>
      <c r="G97" s="29">
        <v>0</v>
      </c>
      <c r="H97" s="4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49">
        <v>0</v>
      </c>
      <c r="V97" s="29">
        <v>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s="30">
        <f t="shared" si="13"/>
        <v>0</v>
      </c>
      <c r="AI97" s="57"/>
    </row>
    <row r="98" spans="1:35" s="35" customFormat="1" ht="14">
      <c r="A98" s="36" t="s">
        <v>302</v>
      </c>
      <c r="B98" s="37" t="s">
        <v>303</v>
      </c>
      <c r="C98" s="28">
        <v>0</v>
      </c>
      <c r="D98" s="49">
        <v>0</v>
      </c>
      <c r="E98" s="29">
        <v>0</v>
      </c>
      <c r="F98" s="29">
        <v>0</v>
      </c>
      <c r="G98" s="29">
        <v>0</v>
      </c>
      <c r="H98" s="4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49">
        <v>0</v>
      </c>
      <c r="V98" s="29">
        <v>0</v>
      </c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29">
        <v>0</v>
      </c>
      <c r="AD98" s="30">
        <f t="shared" si="13"/>
        <v>0</v>
      </c>
      <c r="AI98" s="57"/>
    </row>
    <row r="99" spans="1:35" s="35" customFormat="1" ht="14">
      <c r="A99" s="48" t="s">
        <v>320</v>
      </c>
      <c r="B99" s="39"/>
      <c r="C99" s="40">
        <f t="shared" ref="C99:AD99" si="18">SUM(C93:C98)</f>
        <v>0</v>
      </c>
      <c r="D99" s="577" t="e">
        <f t="shared" si="18"/>
        <v>#REF!</v>
      </c>
      <c r="E99" s="41">
        <f t="shared" si="18"/>
        <v>0</v>
      </c>
      <c r="F99" s="41">
        <f t="shared" si="18"/>
        <v>0</v>
      </c>
      <c r="G99" s="41">
        <f t="shared" si="18"/>
        <v>0</v>
      </c>
      <c r="H99" s="577">
        <f t="shared" si="18"/>
        <v>0</v>
      </c>
      <c r="I99" s="41">
        <f t="shared" si="18"/>
        <v>0</v>
      </c>
      <c r="J99" s="41">
        <f t="shared" si="18"/>
        <v>0</v>
      </c>
      <c r="K99" s="41">
        <f t="shared" si="18"/>
        <v>0</v>
      </c>
      <c r="L99" s="41">
        <f t="shared" si="18"/>
        <v>0</v>
      </c>
      <c r="M99" s="41">
        <f t="shared" si="18"/>
        <v>0</v>
      </c>
      <c r="N99" s="41">
        <f t="shared" si="18"/>
        <v>0</v>
      </c>
      <c r="O99" s="41">
        <f t="shared" si="18"/>
        <v>0</v>
      </c>
      <c r="P99" s="41">
        <f t="shared" si="18"/>
        <v>0</v>
      </c>
      <c r="Q99" s="41">
        <f t="shared" si="18"/>
        <v>0</v>
      </c>
      <c r="R99" s="41">
        <f t="shared" si="18"/>
        <v>0</v>
      </c>
      <c r="S99" s="41">
        <f t="shared" si="18"/>
        <v>0</v>
      </c>
      <c r="T99" s="41">
        <f t="shared" si="18"/>
        <v>0</v>
      </c>
      <c r="U99" s="577">
        <f t="shared" si="18"/>
        <v>0</v>
      </c>
      <c r="V99" s="41">
        <f t="shared" si="18"/>
        <v>0</v>
      </c>
      <c r="W99" s="41">
        <f t="shared" si="18"/>
        <v>0</v>
      </c>
      <c r="X99" s="41">
        <f t="shared" si="18"/>
        <v>0</v>
      </c>
      <c r="Y99" s="41">
        <f t="shared" si="18"/>
        <v>0</v>
      </c>
      <c r="Z99" s="41">
        <f t="shared" si="18"/>
        <v>0</v>
      </c>
      <c r="AA99" s="41">
        <f t="shared" si="18"/>
        <v>0</v>
      </c>
      <c r="AB99" s="41">
        <f t="shared" si="18"/>
        <v>0</v>
      </c>
      <c r="AC99" s="41">
        <f t="shared" si="18"/>
        <v>0</v>
      </c>
      <c r="AD99" s="42" t="e">
        <f t="shared" si="18"/>
        <v>#REF!</v>
      </c>
      <c r="AI99" s="57"/>
    </row>
    <row r="100" spans="1:35" s="35" customFormat="1">
      <c r="A100" s="26"/>
      <c r="B100" s="18"/>
      <c r="C100" s="43"/>
      <c r="D100" s="578"/>
      <c r="E100" s="44"/>
      <c r="F100" s="44"/>
      <c r="G100" s="44"/>
      <c r="H100" s="578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578"/>
      <c r="V100" s="44"/>
      <c r="W100" s="44"/>
      <c r="X100" s="44"/>
      <c r="Y100" s="44"/>
      <c r="Z100" s="44"/>
      <c r="AA100" s="44"/>
      <c r="AB100" s="44"/>
      <c r="AC100" s="44"/>
      <c r="AD100" s="30"/>
      <c r="AI100" s="57"/>
    </row>
    <row r="101" spans="1:35" s="35" customFormat="1" ht="14">
      <c r="A101" s="26" t="s">
        <v>321</v>
      </c>
      <c r="B101" s="18"/>
      <c r="C101" s="43"/>
      <c r="D101" s="578"/>
      <c r="E101" s="44"/>
      <c r="F101" s="44"/>
      <c r="G101" s="44"/>
      <c r="H101" s="578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578"/>
      <c r="V101" s="44"/>
      <c r="W101" s="44"/>
      <c r="X101" s="44"/>
      <c r="Y101" s="44"/>
      <c r="Z101" s="44"/>
      <c r="AA101" s="44"/>
      <c r="AB101" s="44"/>
      <c r="AC101" s="44"/>
      <c r="AD101" s="30"/>
      <c r="AI101" s="57"/>
    </row>
    <row r="102" spans="1:35" s="35" customFormat="1" ht="14">
      <c r="A102" s="36" t="s">
        <v>292</v>
      </c>
      <c r="B102" s="37" t="s">
        <v>293</v>
      </c>
      <c r="C102" s="28">
        <v>0</v>
      </c>
      <c r="D102" s="49" t="e">
        <f>#REF!</f>
        <v>#REF!</v>
      </c>
      <c r="E102" s="29">
        <v>0</v>
      </c>
      <c r="F102" s="29">
        <v>0</v>
      </c>
      <c r="G102" s="29">
        <v>0</v>
      </c>
      <c r="H102" s="4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49">
        <v>0</v>
      </c>
      <c r="V102" s="29">
        <v>0</v>
      </c>
      <c r="W102" s="29">
        <v>0</v>
      </c>
      <c r="X102" s="29">
        <v>0</v>
      </c>
      <c r="Y102" s="29">
        <v>0</v>
      </c>
      <c r="Z102" s="29">
        <v>0</v>
      </c>
      <c r="AA102" s="29">
        <v>0</v>
      </c>
      <c r="AB102" s="29">
        <v>0</v>
      </c>
      <c r="AC102" s="29">
        <v>0</v>
      </c>
      <c r="AD102" s="30" t="e">
        <f t="shared" si="13"/>
        <v>#REF!</v>
      </c>
      <c r="AI102" s="57"/>
    </row>
    <row r="103" spans="1:35" s="35" customFormat="1" ht="14">
      <c r="A103" s="36" t="s">
        <v>294</v>
      </c>
      <c r="B103" s="37" t="s">
        <v>295</v>
      </c>
      <c r="C103" s="28">
        <v>0</v>
      </c>
      <c r="D103" s="49" t="e">
        <f>#REF!+#REF!+#REF!</f>
        <v>#REF!</v>
      </c>
      <c r="E103" s="29">
        <v>0</v>
      </c>
      <c r="F103" s="29">
        <v>0</v>
      </c>
      <c r="G103" s="29">
        <v>0</v>
      </c>
      <c r="H103" s="4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4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s="30" t="e">
        <f t="shared" si="13"/>
        <v>#REF!</v>
      </c>
      <c r="AI103" s="57"/>
    </row>
    <row r="104" spans="1:35" s="35" customFormat="1" ht="14">
      <c r="A104" s="36" t="s">
        <v>296</v>
      </c>
      <c r="B104" s="37" t="s">
        <v>297</v>
      </c>
      <c r="C104" s="28">
        <v>0</v>
      </c>
      <c r="D104" s="49">
        <v>0</v>
      </c>
      <c r="E104" s="29">
        <v>0</v>
      </c>
      <c r="F104" s="29">
        <v>0</v>
      </c>
      <c r="G104" s="29">
        <v>0</v>
      </c>
      <c r="H104" s="4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4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s="30">
        <f t="shared" si="13"/>
        <v>0</v>
      </c>
      <c r="AI104" s="57"/>
    </row>
    <row r="105" spans="1:35" s="35" customFormat="1" ht="14">
      <c r="A105" s="36" t="s">
        <v>298</v>
      </c>
      <c r="B105" s="37" t="s">
        <v>299</v>
      </c>
      <c r="C105" s="28">
        <v>0</v>
      </c>
      <c r="D105" s="49" t="e">
        <f>#REF!</f>
        <v>#REF!</v>
      </c>
      <c r="E105" s="29">
        <v>0</v>
      </c>
      <c r="F105" s="29">
        <v>0</v>
      </c>
      <c r="G105" s="29">
        <v>0</v>
      </c>
      <c r="H105" s="4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49">
        <v>0</v>
      </c>
      <c r="V105" s="29">
        <v>0</v>
      </c>
      <c r="W105" s="29">
        <v>0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s="30" t="e">
        <f t="shared" si="13"/>
        <v>#REF!</v>
      </c>
      <c r="AI105" s="57"/>
    </row>
    <row r="106" spans="1:35" s="35" customFormat="1" ht="14">
      <c r="A106" s="36" t="s">
        <v>300</v>
      </c>
      <c r="B106" s="37" t="s">
        <v>301</v>
      </c>
      <c r="C106" s="28">
        <v>0</v>
      </c>
      <c r="D106" s="49" t="e">
        <f>#REF!</f>
        <v>#REF!</v>
      </c>
      <c r="E106" s="29">
        <v>0</v>
      </c>
      <c r="F106" s="29">
        <v>0</v>
      </c>
      <c r="G106" s="29">
        <v>0</v>
      </c>
      <c r="H106" s="4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4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30" t="e">
        <f t="shared" si="13"/>
        <v>#REF!</v>
      </c>
      <c r="AI106" s="57"/>
    </row>
    <row r="107" spans="1:35" s="35" customFormat="1" ht="14">
      <c r="A107" s="36" t="s">
        <v>302</v>
      </c>
      <c r="B107" s="37" t="s">
        <v>303</v>
      </c>
      <c r="C107" s="28">
        <v>0</v>
      </c>
      <c r="D107" s="49">
        <v>0</v>
      </c>
      <c r="E107" s="29">
        <v>0</v>
      </c>
      <c r="F107" s="29">
        <v>0</v>
      </c>
      <c r="G107" s="29">
        <v>0</v>
      </c>
      <c r="H107" s="4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4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30">
        <f t="shared" si="13"/>
        <v>0</v>
      </c>
      <c r="AI107" s="57"/>
    </row>
    <row r="108" spans="1:35" s="35" customFormat="1" ht="14">
      <c r="A108" s="48" t="s">
        <v>322</v>
      </c>
      <c r="B108" s="39"/>
      <c r="C108" s="40">
        <f t="shared" ref="C108:AD108" si="19">SUM(C102:C107)</f>
        <v>0</v>
      </c>
      <c r="D108" s="577" t="e">
        <f t="shared" si="19"/>
        <v>#REF!</v>
      </c>
      <c r="E108" s="41">
        <f t="shared" si="19"/>
        <v>0</v>
      </c>
      <c r="F108" s="41">
        <f t="shared" si="19"/>
        <v>0</v>
      </c>
      <c r="G108" s="41">
        <f t="shared" si="19"/>
        <v>0</v>
      </c>
      <c r="H108" s="577">
        <f t="shared" si="19"/>
        <v>0</v>
      </c>
      <c r="I108" s="41">
        <f t="shared" si="19"/>
        <v>0</v>
      </c>
      <c r="J108" s="41">
        <f t="shared" si="19"/>
        <v>0</v>
      </c>
      <c r="K108" s="41">
        <f t="shared" si="19"/>
        <v>0</v>
      </c>
      <c r="L108" s="41">
        <f t="shared" si="19"/>
        <v>0</v>
      </c>
      <c r="M108" s="41">
        <f t="shared" si="19"/>
        <v>0</v>
      </c>
      <c r="N108" s="41">
        <f t="shared" si="19"/>
        <v>0</v>
      </c>
      <c r="O108" s="41">
        <f t="shared" si="19"/>
        <v>0</v>
      </c>
      <c r="P108" s="41">
        <f t="shared" si="19"/>
        <v>0</v>
      </c>
      <c r="Q108" s="41">
        <f t="shared" si="19"/>
        <v>0</v>
      </c>
      <c r="R108" s="41">
        <f t="shared" si="19"/>
        <v>0</v>
      </c>
      <c r="S108" s="41">
        <f t="shared" si="19"/>
        <v>0</v>
      </c>
      <c r="T108" s="41">
        <f t="shared" si="19"/>
        <v>0</v>
      </c>
      <c r="U108" s="577">
        <f t="shared" si="19"/>
        <v>0</v>
      </c>
      <c r="V108" s="41">
        <f t="shared" si="19"/>
        <v>0</v>
      </c>
      <c r="W108" s="41">
        <f t="shared" si="19"/>
        <v>0</v>
      </c>
      <c r="X108" s="41">
        <f t="shared" si="19"/>
        <v>0</v>
      </c>
      <c r="Y108" s="41">
        <f t="shared" si="19"/>
        <v>0</v>
      </c>
      <c r="Z108" s="41">
        <f t="shared" si="19"/>
        <v>0</v>
      </c>
      <c r="AA108" s="41">
        <f t="shared" si="19"/>
        <v>0</v>
      </c>
      <c r="AB108" s="41">
        <f t="shared" si="19"/>
        <v>0</v>
      </c>
      <c r="AC108" s="41">
        <f t="shared" si="19"/>
        <v>0</v>
      </c>
      <c r="AD108" s="42" t="e">
        <f t="shared" si="19"/>
        <v>#REF!</v>
      </c>
      <c r="AI108" s="57"/>
    </row>
    <row r="109" spans="1:35" s="35" customFormat="1">
      <c r="A109" s="26"/>
      <c r="B109" s="18"/>
      <c r="C109" s="43"/>
      <c r="D109" s="578"/>
      <c r="E109" s="44"/>
      <c r="F109" s="44"/>
      <c r="G109" s="44"/>
      <c r="H109" s="578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578"/>
      <c r="V109" s="44"/>
      <c r="W109" s="44"/>
      <c r="X109" s="44"/>
      <c r="Y109" s="44"/>
      <c r="Z109" s="44"/>
      <c r="AA109" s="44"/>
      <c r="AB109" s="44"/>
      <c r="AC109" s="44"/>
      <c r="AD109" s="30"/>
      <c r="AI109" s="57"/>
    </row>
    <row r="110" spans="1:35" s="35" customFormat="1" ht="14">
      <c r="A110" s="26" t="s">
        <v>323</v>
      </c>
      <c r="B110" s="18"/>
      <c r="C110" s="43"/>
      <c r="D110" s="578"/>
      <c r="E110" s="44"/>
      <c r="F110" s="44"/>
      <c r="G110" s="44"/>
      <c r="H110" s="578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578"/>
      <c r="V110" s="44"/>
      <c r="W110" s="44"/>
      <c r="X110" s="44"/>
      <c r="Y110" s="44"/>
      <c r="Z110" s="44"/>
      <c r="AA110" s="44"/>
      <c r="AB110" s="44"/>
      <c r="AC110" s="44"/>
      <c r="AD110" s="30"/>
      <c r="AI110" s="57"/>
    </row>
    <row r="111" spans="1:35" s="35" customFormat="1" ht="14">
      <c r="A111" s="36" t="s">
        <v>292</v>
      </c>
      <c r="B111" s="37" t="s">
        <v>293</v>
      </c>
      <c r="C111" s="28">
        <v>0</v>
      </c>
      <c r="D111" s="49">
        <v>0</v>
      </c>
      <c r="E111" s="29">
        <v>0</v>
      </c>
      <c r="F111" s="29">
        <v>0</v>
      </c>
      <c r="G111" s="29">
        <v>0</v>
      </c>
      <c r="H111" s="4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4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C111" s="29">
        <v>0</v>
      </c>
      <c r="AD111" s="30">
        <f t="shared" si="13"/>
        <v>0</v>
      </c>
      <c r="AI111" s="57"/>
    </row>
    <row r="112" spans="1:35" s="35" customFormat="1" ht="14">
      <c r="A112" s="36" t="s">
        <v>294</v>
      </c>
      <c r="B112" s="37" t="s">
        <v>295</v>
      </c>
      <c r="C112" s="28">
        <v>0</v>
      </c>
      <c r="D112" s="49">
        <v>0</v>
      </c>
      <c r="E112" s="29">
        <v>0</v>
      </c>
      <c r="F112" s="29">
        <v>0</v>
      </c>
      <c r="G112" s="29">
        <v>0</v>
      </c>
      <c r="H112" s="4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4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30">
        <f t="shared" si="13"/>
        <v>0</v>
      </c>
      <c r="AI112" s="57"/>
    </row>
    <row r="113" spans="1:35" s="35" customFormat="1" ht="14">
      <c r="A113" s="36" t="s">
        <v>296</v>
      </c>
      <c r="B113" s="37" t="s">
        <v>297</v>
      </c>
      <c r="C113" s="28">
        <v>0</v>
      </c>
      <c r="D113" s="49">
        <v>0</v>
      </c>
      <c r="E113" s="29">
        <v>0</v>
      </c>
      <c r="F113" s="29">
        <v>0</v>
      </c>
      <c r="G113" s="29">
        <v>0</v>
      </c>
      <c r="H113" s="4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4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30">
        <f t="shared" si="13"/>
        <v>0</v>
      </c>
      <c r="AI113" s="57"/>
    </row>
    <row r="114" spans="1:35" s="35" customFormat="1" ht="14">
      <c r="A114" s="36" t="s">
        <v>298</v>
      </c>
      <c r="B114" s="37" t="s">
        <v>299</v>
      </c>
      <c r="C114" s="28">
        <v>0</v>
      </c>
      <c r="D114" s="49" t="e">
        <f>#REF!</f>
        <v>#REF!</v>
      </c>
      <c r="E114" s="29">
        <v>0</v>
      </c>
      <c r="F114" s="29">
        <v>0</v>
      </c>
      <c r="G114" s="29">
        <v>0</v>
      </c>
      <c r="H114" s="4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4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0</v>
      </c>
      <c r="AD114" s="30" t="e">
        <f t="shared" si="13"/>
        <v>#REF!</v>
      </c>
      <c r="AI114" s="57"/>
    </row>
    <row r="115" spans="1:35" s="35" customFormat="1" ht="14">
      <c r="A115" s="36" t="s">
        <v>300</v>
      </c>
      <c r="B115" s="37" t="s">
        <v>301</v>
      </c>
      <c r="C115" s="28">
        <v>0</v>
      </c>
      <c r="D115" s="49">
        <v>0</v>
      </c>
      <c r="E115" s="29">
        <v>0</v>
      </c>
      <c r="F115" s="29">
        <v>0</v>
      </c>
      <c r="G115" s="29">
        <v>0</v>
      </c>
      <c r="H115" s="4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4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29">
        <v>0</v>
      </c>
      <c r="AD115" s="30">
        <f t="shared" si="13"/>
        <v>0</v>
      </c>
      <c r="AI115" s="57"/>
    </row>
    <row r="116" spans="1:35" s="35" customFormat="1" ht="14">
      <c r="A116" s="36" t="s">
        <v>302</v>
      </c>
      <c r="B116" s="37" t="s">
        <v>303</v>
      </c>
      <c r="C116" s="28">
        <v>0</v>
      </c>
      <c r="D116" s="49">
        <v>0</v>
      </c>
      <c r="E116" s="29">
        <v>0</v>
      </c>
      <c r="F116" s="29">
        <v>0</v>
      </c>
      <c r="G116" s="29">
        <v>0</v>
      </c>
      <c r="H116" s="4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49">
        <v>0</v>
      </c>
      <c r="V116" s="29">
        <v>0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9">
        <v>0</v>
      </c>
      <c r="AD116" s="30">
        <f t="shared" si="13"/>
        <v>0</v>
      </c>
      <c r="AI116" s="57"/>
    </row>
    <row r="117" spans="1:35" s="35" customFormat="1" ht="14">
      <c r="A117" s="48" t="s">
        <v>322</v>
      </c>
      <c r="B117" s="39"/>
      <c r="C117" s="40">
        <f t="shared" ref="C117:AD117" si="20">SUM(C111:C116)</f>
        <v>0</v>
      </c>
      <c r="D117" s="577" t="e">
        <f t="shared" si="20"/>
        <v>#REF!</v>
      </c>
      <c r="E117" s="41">
        <f t="shared" si="20"/>
        <v>0</v>
      </c>
      <c r="F117" s="41">
        <f t="shared" si="20"/>
        <v>0</v>
      </c>
      <c r="G117" s="41">
        <f t="shared" si="20"/>
        <v>0</v>
      </c>
      <c r="H117" s="577">
        <f t="shared" si="20"/>
        <v>0</v>
      </c>
      <c r="I117" s="41">
        <f t="shared" si="20"/>
        <v>0</v>
      </c>
      <c r="J117" s="41">
        <f t="shared" si="20"/>
        <v>0</v>
      </c>
      <c r="K117" s="41">
        <f t="shared" si="20"/>
        <v>0</v>
      </c>
      <c r="L117" s="41">
        <f t="shared" si="20"/>
        <v>0</v>
      </c>
      <c r="M117" s="41">
        <f t="shared" si="20"/>
        <v>0</v>
      </c>
      <c r="N117" s="41">
        <f t="shared" si="20"/>
        <v>0</v>
      </c>
      <c r="O117" s="41">
        <f t="shared" si="20"/>
        <v>0</v>
      </c>
      <c r="P117" s="41">
        <f t="shared" si="20"/>
        <v>0</v>
      </c>
      <c r="Q117" s="41">
        <f t="shared" si="20"/>
        <v>0</v>
      </c>
      <c r="R117" s="41">
        <f t="shared" si="20"/>
        <v>0</v>
      </c>
      <c r="S117" s="41">
        <f t="shared" si="20"/>
        <v>0</v>
      </c>
      <c r="T117" s="41">
        <f t="shared" si="20"/>
        <v>0</v>
      </c>
      <c r="U117" s="577">
        <f t="shared" si="20"/>
        <v>0</v>
      </c>
      <c r="V117" s="41">
        <f t="shared" si="20"/>
        <v>0</v>
      </c>
      <c r="W117" s="41">
        <f t="shared" si="20"/>
        <v>0</v>
      </c>
      <c r="X117" s="41">
        <f t="shared" si="20"/>
        <v>0</v>
      </c>
      <c r="Y117" s="41">
        <f t="shared" si="20"/>
        <v>0</v>
      </c>
      <c r="Z117" s="41">
        <f t="shared" si="20"/>
        <v>0</v>
      </c>
      <c r="AA117" s="41">
        <f t="shared" si="20"/>
        <v>0</v>
      </c>
      <c r="AB117" s="41">
        <f t="shared" si="20"/>
        <v>0</v>
      </c>
      <c r="AC117" s="41">
        <f t="shared" si="20"/>
        <v>0</v>
      </c>
      <c r="AD117" s="42" t="e">
        <f t="shared" si="20"/>
        <v>#REF!</v>
      </c>
      <c r="AI117" s="57"/>
    </row>
    <row r="118" spans="1:35" s="35" customFormat="1" ht="14" hidden="1">
      <c r="A118" s="26" t="s">
        <v>324</v>
      </c>
      <c r="B118" s="18"/>
      <c r="C118" s="43"/>
      <c r="D118" s="578"/>
      <c r="E118" s="44"/>
      <c r="F118" s="44"/>
      <c r="G118" s="44"/>
      <c r="H118" s="578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578"/>
      <c r="V118" s="44"/>
      <c r="W118" s="44"/>
      <c r="X118" s="44"/>
      <c r="Y118" s="44"/>
      <c r="Z118" s="44"/>
      <c r="AA118" s="44"/>
      <c r="AB118" s="44"/>
      <c r="AC118" s="44"/>
      <c r="AD118" s="30"/>
      <c r="AI118" s="57"/>
    </row>
    <row r="119" spans="1:35" s="35" customFormat="1" ht="14" hidden="1">
      <c r="A119" s="36" t="s">
        <v>292</v>
      </c>
      <c r="B119" s="37" t="s">
        <v>293</v>
      </c>
      <c r="C119" s="28">
        <v>0</v>
      </c>
      <c r="D119" s="49">
        <v>0</v>
      </c>
      <c r="E119" s="29">
        <v>0</v>
      </c>
      <c r="F119" s="29">
        <v>0</v>
      </c>
      <c r="G119" s="29">
        <v>0</v>
      </c>
      <c r="H119" s="4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49">
        <v>0</v>
      </c>
      <c r="V119" s="29">
        <v>0</v>
      </c>
      <c r="W119" s="29">
        <v>0</v>
      </c>
      <c r="X119" s="29">
        <v>0</v>
      </c>
      <c r="Y119" s="29">
        <v>0</v>
      </c>
      <c r="Z119" s="29">
        <v>0</v>
      </c>
      <c r="AA119" s="29">
        <v>0</v>
      </c>
      <c r="AB119" s="29">
        <v>0</v>
      </c>
      <c r="AC119" s="29">
        <v>0</v>
      </c>
      <c r="AD119" s="30">
        <f t="shared" si="13"/>
        <v>0</v>
      </c>
      <c r="AI119" s="57"/>
    </row>
    <row r="120" spans="1:35" s="35" customFormat="1" ht="14" hidden="1">
      <c r="A120" s="36" t="s">
        <v>294</v>
      </c>
      <c r="B120" s="37" t="s">
        <v>295</v>
      </c>
      <c r="C120" s="28">
        <v>0</v>
      </c>
      <c r="D120" s="49">
        <v>0</v>
      </c>
      <c r="E120" s="29">
        <v>0</v>
      </c>
      <c r="F120" s="29">
        <v>0</v>
      </c>
      <c r="G120" s="29">
        <v>0</v>
      </c>
      <c r="H120" s="4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49">
        <v>0</v>
      </c>
      <c r="V120" s="29">
        <v>0</v>
      </c>
      <c r="W120" s="29">
        <v>0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29">
        <v>0</v>
      </c>
      <c r="AD120" s="30">
        <f t="shared" si="13"/>
        <v>0</v>
      </c>
      <c r="AI120" s="57"/>
    </row>
    <row r="121" spans="1:35" s="35" customFormat="1" ht="14" hidden="1">
      <c r="A121" s="36" t="s">
        <v>296</v>
      </c>
      <c r="B121" s="37" t="s">
        <v>297</v>
      </c>
      <c r="C121" s="28">
        <v>0</v>
      </c>
      <c r="D121" s="49">
        <v>0</v>
      </c>
      <c r="E121" s="29">
        <v>0</v>
      </c>
      <c r="F121" s="29">
        <v>0</v>
      </c>
      <c r="G121" s="29">
        <v>0</v>
      </c>
      <c r="H121" s="4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4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30">
        <f t="shared" si="13"/>
        <v>0</v>
      </c>
      <c r="AI121" s="57"/>
    </row>
    <row r="122" spans="1:35" s="35" customFormat="1" ht="14" hidden="1">
      <c r="A122" s="36" t="s">
        <v>298</v>
      </c>
      <c r="B122" s="37" t="s">
        <v>299</v>
      </c>
      <c r="C122" s="28">
        <v>0</v>
      </c>
      <c r="D122" s="49">
        <v>0</v>
      </c>
      <c r="E122" s="29">
        <v>0</v>
      </c>
      <c r="F122" s="29">
        <v>0</v>
      </c>
      <c r="G122" s="29">
        <v>0</v>
      </c>
      <c r="H122" s="4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29">
        <v>0</v>
      </c>
      <c r="U122" s="49">
        <v>0</v>
      </c>
      <c r="V122" s="29">
        <v>0</v>
      </c>
      <c r="W122" s="29">
        <v>0</v>
      </c>
      <c r="X122" s="29">
        <v>0</v>
      </c>
      <c r="Y122" s="29">
        <v>0</v>
      </c>
      <c r="Z122" s="29">
        <v>0</v>
      </c>
      <c r="AA122" s="29">
        <v>0</v>
      </c>
      <c r="AB122" s="29">
        <v>0</v>
      </c>
      <c r="AC122" s="29">
        <v>0</v>
      </c>
      <c r="AD122" s="30">
        <f t="shared" si="13"/>
        <v>0</v>
      </c>
      <c r="AI122" s="57"/>
    </row>
    <row r="123" spans="1:35" s="35" customFormat="1" ht="14" hidden="1">
      <c r="A123" s="36" t="s">
        <v>300</v>
      </c>
      <c r="B123" s="37" t="s">
        <v>301</v>
      </c>
      <c r="C123" s="28">
        <v>0</v>
      </c>
      <c r="D123" s="49">
        <v>0</v>
      </c>
      <c r="E123" s="29">
        <v>0</v>
      </c>
      <c r="F123" s="29">
        <v>0</v>
      </c>
      <c r="G123" s="29">
        <v>0</v>
      </c>
      <c r="H123" s="4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4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30">
        <f t="shared" si="13"/>
        <v>0</v>
      </c>
      <c r="AI123" s="57"/>
    </row>
    <row r="124" spans="1:35" s="35" customFormat="1" ht="14" hidden="1">
      <c r="A124" s="36" t="s">
        <v>302</v>
      </c>
      <c r="B124" s="37" t="s">
        <v>303</v>
      </c>
      <c r="C124" s="28">
        <v>0</v>
      </c>
      <c r="D124" s="49">
        <v>0</v>
      </c>
      <c r="E124" s="29">
        <v>0</v>
      </c>
      <c r="F124" s="29">
        <v>0</v>
      </c>
      <c r="G124" s="29">
        <v>0</v>
      </c>
      <c r="H124" s="4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4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30">
        <f t="shared" si="13"/>
        <v>0</v>
      </c>
      <c r="AI124" s="57"/>
    </row>
    <row r="125" spans="1:35" s="35" customFormat="1" ht="14" hidden="1">
      <c r="A125" s="48" t="s">
        <v>325</v>
      </c>
      <c r="B125" s="39"/>
      <c r="C125" s="40">
        <f t="shared" ref="C125:AD125" si="21">SUM(C119:C124)</f>
        <v>0</v>
      </c>
      <c r="D125" s="577">
        <f t="shared" si="21"/>
        <v>0</v>
      </c>
      <c r="E125" s="41">
        <f t="shared" si="21"/>
        <v>0</v>
      </c>
      <c r="F125" s="41">
        <f t="shared" si="21"/>
        <v>0</v>
      </c>
      <c r="G125" s="41">
        <f t="shared" si="21"/>
        <v>0</v>
      </c>
      <c r="H125" s="577">
        <f t="shared" si="21"/>
        <v>0</v>
      </c>
      <c r="I125" s="41">
        <f t="shared" si="21"/>
        <v>0</v>
      </c>
      <c r="J125" s="41">
        <f t="shared" si="21"/>
        <v>0</v>
      </c>
      <c r="K125" s="41">
        <f t="shared" si="21"/>
        <v>0</v>
      </c>
      <c r="L125" s="41">
        <f t="shared" si="21"/>
        <v>0</v>
      </c>
      <c r="M125" s="41">
        <f t="shared" si="21"/>
        <v>0</v>
      </c>
      <c r="N125" s="41">
        <f t="shared" si="21"/>
        <v>0</v>
      </c>
      <c r="O125" s="41">
        <f t="shared" si="21"/>
        <v>0</v>
      </c>
      <c r="P125" s="41">
        <f t="shared" si="21"/>
        <v>0</v>
      </c>
      <c r="Q125" s="41">
        <f t="shared" si="21"/>
        <v>0</v>
      </c>
      <c r="R125" s="41">
        <f t="shared" si="21"/>
        <v>0</v>
      </c>
      <c r="S125" s="41">
        <f t="shared" si="21"/>
        <v>0</v>
      </c>
      <c r="T125" s="41">
        <f t="shared" si="21"/>
        <v>0</v>
      </c>
      <c r="U125" s="577">
        <f t="shared" si="21"/>
        <v>0</v>
      </c>
      <c r="V125" s="41">
        <f t="shared" si="21"/>
        <v>0</v>
      </c>
      <c r="W125" s="41">
        <f t="shared" si="21"/>
        <v>0</v>
      </c>
      <c r="X125" s="41">
        <f t="shared" si="21"/>
        <v>0</v>
      </c>
      <c r="Y125" s="41">
        <f t="shared" si="21"/>
        <v>0</v>
      </c>
      <c r="Z125" s="41">
        <f t="shared" si="21"/>
        <v>0</v>
      </c>
      <c r="AA125" s="41">
        <f t="shared" si="21"/>
        <v>0</v>
      </c>
      <c r="AB125" s="41">
        <f t="shared" si="21"/>
        <v>0</v>
      </c>
      <c r="AC125" s="41">
        <f t="shared" si="21"/>
        <v>0</v>
      </c>
      <c r="AD125" s="42">
        <f t="shared" si="21"/>
        <v>0</v>
      </c>
      <c r="AI125" s="57"/>
    </row>
    <row r="126" spans="1:35" s="35" customFormat="1" hidden="1">
      <c r="A126" s="26"/>
      <c r="B126" s="18"/>
      <c r="C126" s="43"/>
      <c r="D126" s="578"/>
      <c r="E126" s="44"/>
      <c r="F126" s="44"/>
      <c r="G126" s="44"/>
      <c r="H126" s="578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578"/>
      <c r="V126" s="44"/>
      <c r="W126" s="44"/>
      <c r="X126" s="44"/>
      <c r="Y126" s="44"/>
      <c r="Z126" s="44"/>
      <c r="AA126" s="44"/>
      <c r="AB126" s="44"/>
      <c r="AC126" s="44"/>
      <c r="AD126" s="30"/>
      <c r="AI126" s="57"/>
    </row>
    <row r="127" spans="1:35" s="35" customFormat="1" ht="14" hidden="1">
      <c r="A127" s="26" t="s">
        <v>326</v>
      </c>
      <c r="B127" s="18"/>
      <c r="C127" s="43"/>
      <c r="D127" s="578"/>
      <c r="E127" s="44"/>
      <c r="F127" s="44"/>
      <c r="G127" s="44"/>
      <c r="H127" s="578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578"/>
      <c r="V127" s="44"/>
      <c r="W127" s="44"/>
      <c r="X127" s="44"/>
      <c r="Y127" s="44"/>
      <c r="Z127" s="44"/>
      <c r="AA127" s="44"/>
      <c r="AB127" s="44"/>
      <c r="AC127" s="44"/>
      <c r="AD127" s="30"/>
      <c r="AI127" s="57"/>
    </row>
    <row r="128" spans="1:35" s="35" customFormat="1" ht="14" hidden="1">
      <c r="A128" s="36" t="s">
        <v>292</v>
      </c>
      <c r="B128" s="37" t="s">
        <v>293</v>
      </c>
      <c r="C128" s="28">
        <v>0</v>
      </c>
      <c r="D128" s="49">
        <v>0</v>
      </c>
      <c r="E128" s="29">
        <v>0</v>
      </c>
      <c r="F128" s="29">
        <v>0</v>
      </c>
      <c r="G128" s="29">
        <v>0</v>
      </c>
      <c r="H128" s="4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0</v>
      </c>
      <c r="T128" s="29">
        <v>0</v>
      </c>
      <c r="U128" s="4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0</v>
      </c>
      <c r="AA128" s="29">
        <v>0</v>
      </c>
      <c r="AB128" s="29">
        <v>0</v>
      </c>
      <c r="AC128" s="29">
        <v>0</v>
      </c>
      <c r="AD128" s="30">
        <f t="shared" si="13"/>
        <v>0</v>
      </c>
      <c r="AI128" s="57"/>
    </row>
    <row r="129" spans="1:35" s="35" customFormat="1" ht="14" hidden="1">
      <c r="A129" s="36" t="s">
        <v>294</v>
      </c>
      <c r="B129" s="37" t="s">
        <v>295</v>
      </c>
      <c r="C129" s="28">
        <v>0</v>
      </c>
      <c r="D129" s="49">
        <v>0</v>
      </c>
      <c r="E129" s="29">
        <v>0</v>
      </c>
      <c r="F129" s="29">
        <v>0</v>
      </c>
      <c r="G129" s="29">
        <v>0</v>
      </c>
      <c r="H129" s="4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29">
        <v>0</v>
      </c>
      <c r="R129" s="29">
        <v>0</v>
      </c>
      <c r="S129" s="29">
        <v>0</v>
      </c>
      <c r="T129" s="29">
        <v>0</v>
      </c>
      <c r="U129" s="49">
        <v>0</v>
      </c>
      <c r="V129" s="29">
        <v>0</v>
      </c>
      <c r="W129" s="29">
        <v>0</v>
      </c>
      <c r="X129" s="29">
        <v>0</v>
      </c>
      <c r="Y129" s="29">
        <v>0</v>
      </c>
      <c r="Z129" s="29">
        <v>0</v>
      </c>
      <c r="AA129" s="29">
        <v>0</v>
      </c>
      <c r="AB129" s="29">
        <v>0</v>
      </c>
      <c r="AC129" s="29">
        <v>0</v>
      </c>
      <c r="AD129" s="30">
        <f t="shared" si="13"/>
        <v>0</v>
      </c>
      <c r="AI129" s="57"/>
    </row>
    <row r="130" spans="1:35" s="35" customFormat="1" ht="14" hidden="1">
      <c r="A130" s="36" t="s">
        <v>296</v>
      </c>
      <c r="B130" s="37" t="s">
        <v>297</v>
      </c>
      <c r="C130" s="28">
        <v>0</v>
      </c>
      <c r="D130" s="49">
        <v>0</v>
      </c>
      <c r="E130" s="29">
        <v>0</v>
      </c>
      <c r="F130" s="29">
        <v>0</v>
      </c>
      <c r="G130" s="29">
        <v>0</v>
      </c>
      <c r="H130" s="4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49">
        <v>0</v>
      </c>
      <c r="V130" s="29">
        <v>0</v>
      </c>
      <c r="W130" s="29">
        <v>0</v>
      </c>
      <c r="X130" s="29">
        <v>0</v>
      </c>
      <c r="Y130" s="29">
        <v>0</v>
      </c>
      <c r="Z130" s="29">
        <v>0</v>
      </c>
      <c r="AA130" s="29">
        <v>0</v>
      </c>
      <c r="AB130" s="29">
        <v>0</v>
      </c>
      <c r="AC130" s="29">
        <v>0</v>
      </c>
      <c r="AD130" s="30">
        <f t="shared" si="13"/>
        <v>0</v>
      </c>
      <c r="AI130" s="57"/>
    </row>
    <row r="131" spans="1:35" s="35" customFormat="1" ht="14" hidden="1">
      <c r="A131" s="36" t="s">
        <v>298</v>
      </c>
      <c r="B131" s="37" t="s">
        <v>299</v>
      </c>
      <c r="C131" s="28">
        <v>0</v>
      </c>
      <c r="D131" s="49">
        <v>0</v>
      </c>
      <c r="E131" s="29">
        <v>0</v>
      </c>
      <c r="F131" s="29">
        <v>0</v>
      </c>
      <c r="G131" s="29">
        <v>0</v>
      </c>
      <c r="H131" s="4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49">
        <v>0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29">
        <v>0</v>
      </c>
      <c r="AB131" s="29">
        <v>0</v>
      </c>
      <c r="AC131" s="29">
        <v>0</v>
      </c>
      <c r="AD131" s="30">
        <f t="shared" si="13"/>
        <v>0</v>
      </c>
      <c r="AI131" s="57"/>
    </row>
    <row r="132" spans="1:35" s="35" customFormat="1" ht="14" hidden="1">
      <c r="A132" s="36" t="s">
        <v>300</v>
      </c>
      <c r="B132" s="37" t="s">
        <v>301</v>
      </c>
      <c r="C132" s="28">
        <v>0</v>
      </c>
      <c r="D132" s="49">
        <v>0</v>
      </c>
      <c r="E132" s="29">
        <v>0</v>
      </c>
      <c r="F132" s="29">
        <v>0</v>
      </c>
      <c r="G132" s="29">
        <v>0</v>
      </c>
      <c r="H132" s="4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49">
        <v>0</v>
      </c>
      <c r="V132" s="29">
        <v>0</v>
      </c>
      <c r="W132" s="29">
        <v>0</v>
      </c>
      <c r="X132" s="29">
        <v>0</v>
      </c>
      <c r="Y132" s="29">
        <v>0</v>
      </c>
      <c r="Z132" s="29">
        <v>0</v>
      </c>
      <c r="AA132" s="29">
        <v>0</v>
      </c>
      <c r="AB132" s="29">
        <v>0</v>
      </c>
      <c r="AC132" s="29">
        <v>0</v>
      </c>
      <c r="AD132" s="30">
        <f t="shared" ref="AD132:AD194" si="22">SUM(C132:AC132)</f>
        <v>0</v>
      </c>
      <c r="AI132" s="57"/>
    </row>
    <row r="133" spans="1:35" s="35" customFormat="1" ht="14" hidden="1">
      <c r="A133" s="36" t="s">
        <v>302</v>
      </c>
      <c r="B133" s="37" t="s">
        <v>303</v>
      </c>
      <c r="C133" s="28">
        <v>0</v>
      </c>
      <c r="D133" s="49">
        <v>0</v>
      </c>
      <c r="E133" s="29">
        <v>0</v>
      </c>
      <c r="F133" s="29">
        <v>0</v>
      </c>
      <c r="G133" s="29">
        <v>0</v>
      </c>
      <c r="H133" s="4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4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30">
        <f t="shared" si="22"/>
        <v>0</v>
      </c>
      <c r="AI133" s="57"/>
    </row>
    <row r="134" spans="1:35" s="35" customFormat="1" ht="14" hidden="1">
      <c r="A134" s="48" t="s">
        <v>327</v>
      </c>
      <c r="B134" s="39"/>
      <c r="C134" s="40">
        <f t="shared" ref="C134:AD134" si="23">SUM(C128:C133)</f>
        <v>0</v>
      </c>
      <c r="D134" s="577">
        <f t="shared" si="23"/>
        <v>0</v>
      </c>
      <c r="E134" s="41">
        <f t="shared" si="23"/>
        <v>0</v>
      </c>
      <c r="F134" s="41">
        <f t="shared" si="23"/>
        <v>0</v>
      </c>
      <c r="G134" s="41">
        <f t="shared" si="23"/>
        <v>0</v>
      </c>
      <c r="H134" s="577">
        <f t="shared" si="23"/>
        <v>0</v>
      </c>
      <c r="I134" s="41">
        <f t="shared" si="23"/>
        <v>0</v>
      </c>
      <c r="J134" s="41">
        <f t="shared" si="23"/>
        <v>0</v>
      </c>
      <c r="K134" s="41">
        <f t="shared" si="23"/>
        <v>0</v>
      </c>
      <c r="L134" s="41">
        <f t="shared" si="23"/>
        <v>0</v>
      </c>
      <c r="M134" s="41">
        <f t="shared" si="23"/>
        <v>0</v>
      </c>
      <c r="N134" s="41">
        <f t="shared" si="23"/>
        <v>0</v>
      </c>
      <c r="O134" s="41">
        <f t="shared" si="23"/>
        <v>0</v>
      </c>
      <c r="P134" s="41">
        <f t="shared" si="23"/>
        <v>0</v>
      </c>
      <c r="Q134" s="41">
        <f t="shared" si="23"/>
        <v>0</v>
      </c>
      <c r="R134" s="41">
        <f t="shared" si="23"/>
        <v>0</v>
      </c>
      <c r="S134" s="41">
        <f t="shared" si="23"/>
        <v>0</v>
      </c>
      <c r="T134" s="41">
        <f t="shared" si="23"/>
        <v>0</v>
      </c>
      <c r="U134" s="577">
        <f t="shared" si="23"/>
        <v>0</v>
      </c>
      <c r="V134" s="41">
        <f t="shared" si="23"/>
        <v>0</v>
      </c>
      <c r="W134" s="41">
        <f t="shared" si="23"/>
        <v>0</v>
      </c>
      <c r="X134" s="41">
        <f t="shared" si="23"/>
        <v>0</v>
      </c>
      <c r="Y134" s="41">
        <f t="shared" si="23"/>
        <v>0</v>
      </c>
      <c r="Z134" s="41">
        <f t="shared" si="23"/>
        <v>0</v>
      </c>
      <c r="AA134" s="41">
        <f t="shared" si="23"/>
        <v>0</v>
      </c>
      <c r="AB134" s="41">
        <f t="shared" si="23"/>
        <v>0</v>
      </c>
      <c r="AC134" s="41">
        <f t="shared" si="23"/>
        <v>0</v>
      </c>
      <c r="AD134" s="42">
        <f t="shared" si="23"/>
        <v>0</v>
      </c>
      <c r="AI134" s="57"/>
    </row>
    <row r="135" spans="1:35" s="35" customFormat="1" hidden="1">
      <c r="A135" s="26"/>
      <c r="B135" s="18"/>
      <c r="C135" s="43"/>
      <c r="D135" s="578"/>
      <c r="E135" s="44"/>
      <c r="F135" s="44"/>
      <c r="G135" s="44"/>
      <c r="H135" s="578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578"/>
      <c r="V135" s="44"/>
      <c r="W135" s="44"/>
      <c r="X135" s="44"/>
      <c r="Y135" s="44"/>
      <c r="Z135" s="44"/>
      <c r="AA135" s="44"/>
      <c r="AB135" s="44"/>
      <c r="AC135" s="44"/>
      <c r="AD135" s="30"/>
      <c r="AI135" s="57"/>
    </row>
    <row r="136" spans="1:35" s="35" customFormat="1" ht="14" hidden="1">
      <c r="A136" s="26" t="s">
        <v>328</v>
      </c>
      <c r="B136" s="18"/>
      <c r="C136" s="43"/>
      <c r="D136" s="578"/>
      <c r="E136" s="44"/>
      <c r="F136" s="44"/>
      <c r="G136" s="44"/>
      <c r="H136" s="578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578"/>
      <c r="V136" s="44"/>
      <c r="W136" s="44"/>
      <c r="X136" s="44"/>
      <c r="Y136" s="44"/>
      <c r="Z136" s="44"/>
      <c r="AA136" s="44"/>
      <c r="AB136" s="44"/>
      <c r="AC136" s="44"/>
      <c r="AD136" s="30"/>
      <c r="AI136" s="57"/>
    </row>
    <row r="137" spans="1:35" s="35" customFormat="1" ht="14" hidden="1">
      <c r="A137" s="36" t="s">
        <v>292</v>
      </c>
      <c r="B137" s="37" t="s">
        <v>293</v>
      </c>
      <c r="C137" s="28">
        <v>0</v>
      </c>
      <c r="D137" s="49">
        <v>0</v>
      </c>
      <c r="E137" s="29">
        <v>0</v>
      </c>
      <c r="F137" s="29">
        <v>0</v>
      </c>
      <c r="G137" s="29">
        <v>0</v>
      </c>
      <c r="H137" s="4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49">
        <v>0</v>
      </c>
      <c r="V137" s="29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9">
        <v>0</v>
      </c>
      <c r="AC137" s="29">
        <v>0</v>
      </c>
      <c r="AD137" s="30">
        <f t="shared" si="22"/>
        <v>0</v>
      </c>
      <c r="AI137" s="57"/>
    </row>
    <row r="138" spans="1:35" s="35" customFormat="1" ht="14" hidden="1">
      <c r="A138" s="36" t="s">
        <v>294</v>
      </c>
      <c r="B138" s="37" t="s">
        <v>295</v>
      </c>
      <c r="C138" s="28">
        <v>0</v>
      </c>
      <c r="D138" s="49">
        <v>0</v>
      </c>
      <c r="E138" s="29">
        <v>0</v>
      </c>
      <c r="F138" s="29">
        <v>0</v>
      </c>
      <c r="G138" s="29">
        <v>0</v>
      </c>
      <c r="H138" s="4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49">
        <v>0</v>
      </c>
      <c r="V138" s="29">
        <v>0</v>
      </c>
      <c r="W138" s="29">
        <v>0</v>
      </c>
      <c r="X138" s="29">
        <v>0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30">
        <f t="shared" si="22"/>
        <v>0</v>
      </c>
      <c r="AI138" s="57"/>
    </row>
    <row r="139" spans="1:35" s="35" customFormat="1" ht="14" hidden="1">
      <c r="A139" s="36" t="s">
        <v>296</v>
      </c>
      <c r="B139" s="37" t="s">
        <v>297</v>
      </c>
      <c r="C139" s="28">
        <v>0</v>
      </c>
      <c r="D139" s="49">
        <v>0</v>
      </c>
      <c r="E139" s="29">
        <v>0</v>
      </c>
      <c r="F139" s="29">
        <v>0</v>
      </c>
      <c r="G139" s="29">
        <v>0</v>
      </c>
      <c r="H139" s="4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49">
        <v>0</v>
      </c>
      <c r="V139" s="29">
        <v>0</v>
      </c>
      <c r="W139" s="29">
        <v>0</v>
      </c>
      <c r="X139" s="29">
        <v>0</v>
      </c>
      <c r="Y139" s="29">
        <v>0</v>
      </c>
      <c r="Z139" s="29">
        <v>0</v>
      </c>
      <c r="AA139" s="29">
        <v>0</v>
      </c>
      <c r="AB139" s="29">
        <v>0</v>
      </c>
      <c r="AC139" s="29">
        <v>0</v>
      </c>
      <c r="AD139" s="30">
        <f t="shared" si="22"/>
        <v>0</v>
      </c>
      <c r="AI139" s="57"/>
    </row>
    <row r="140" spans="1:35" s="35" customFormat="1" ht="14" hidden="1">
      <c r="A140" s="36" t="s">
        <v>298</v>
      </c>
      <c r="B140" s="37" t="s">
        <v>299</v>
      </c>
      <c r="C140" s="28">
        <v>0</v>
      </c>
      <c r="D140" s="49">
        <v>0</v>
      </c>
      <c r="E140" s="29">
        <v>0</v>
      </c>
      <c r="F140" s="29">
        <v>0</v>
      </c>
      <c r="G140" s="29">
        <v>0</v>
      </c>
      <c r="H140" s="4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49">
        <v>0</v>
      </c>
      <c r="V140" s="29">
        <v>0</v>
      </c>
      <c r="W140" s="29">
        <v>0</v>
      </c>
      <c r="X140" s="29">
        <v>0</v>
      </c>
      <c r="Y140" s="29">
        <v>0</v>
      </c>
      <c r="Z140" s="29">
        <v>0</v>
      </c>
      <c r="AA140" s="29">
        <v>0</v>
      </c>
      <c r="AB140" s="29">
        <v>0</v>
      </c>
      <c r="AC140" s="29">
        <v>0</v>
      </c>
      <c r="AD140" s="30">
        <f t="shared" si="22"/>
        <v>0</v>
      </c>
      <c r="AI140" s="57"/>
    </row>
    <row r="141" spans="1:35" s="35" customFormat="1" ht="14" hidden="1">
      <c r="A141" s="36" t="s">
        <v>300</v>
      </c>
      <c r="B141" s="37" t="s">
        <v>301</v>
      </c>
      <c r="C141" s="28">
        <v>0</v>
      </c>
      <c r="D141" s="49">
        <v>0</v>
      </c>
      <c r="E141" s="29">
        <v>0</v>
      </c>
      <c r="F141" s="29">
        <v>0</v>
      </c>
      <c r="G141" s="29">
        <v>0</v>
      </c>
      <c r="H141" s="4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49">
        <v>0</v>
      </c>
      <c r="V141" s="29">
        <v>0</v>
      </c>
      <c r="W141" s="29">
        <v>0</v>
      </c>
      <c r="X141" s="29">
        <v>0</v>
      </c>
      <c r="Y141" s="29">
        <v>0</v>
      </c>
      <c r="Z141" s="29">
        <v>0</v>
      </c>
      <c r="AA141" s="29">
        <v>0</v>
      </c>
      <c r="AB141" s="29">
        <v>0</v>
      </c>
      <c r="AC141" s="29">
        <v>0</v>
      </c>
      <c r="AD141" s="30">
        <f t="shared" si="22"/>
        <v>0</v>
      </c>
      <c r="AI141" s="57"/>
    </row>
    <row r="142" spans="1:35" s="35" customFormat="1" ht="14" hidden="1">
      <c r="A142" s="36" t="s">
        <v>302</v>
      </c>
      <c r="B142" s="37" t="s">
        <v>303</v>
      </c>
      <c r="C142" s="28">
        <v>0</v>
      </c>
      <c r="D142" s="49">
        <v>0</v>
      </c>
      <c r="E142" s="29">
        <v>0</v>
      </c>
      <c r="F142" s="29">
        <v>0</v>
      </c>
      <c r="G142" s="29">
        <v>0</v>
      </c>
      <c r="H142" s="4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4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0</v>
      </c>
      <c r="AA142" s="29">
        <v>0</v>
      </c>
      <c r="AB142" s="29">
        <v>0</v>
      </c>
      <c r="AC142" s="29">
        <v>0</v>
      </c>
      <c r="AD142" s="30">
        <f t="shared" si="22"/>
        <v>0</v>
      </c>
      <c r="AI142" s="57"/>
    </row>
    <row r="143" spans="1:35" s="35" customFormat="1" ht="14" hidden="1">
      <c r="A143" s="48" t="s">
        <v>329</v>
      </c>
      <c r="B143" s="39"/>
      <c r="C143" s="40">
        <f t="shared" ref="C143:AD143" si="24">SUM(C137:C142)</f>
        <v>0</v>
      </c>
      <c r="D143" s="577">
        <f t="shared" si="24"/>
        <v>0</v>
      </c>
      <c r="E143" s="41">
        <f t="shared" si="24"/>
        <v>0</v>
      </c>
      <c r="F143" s="41">
        <f t="shared" si="24"/>
        <v>0</v>
      </c>
      <c r="G143" s="41">
        <f t="shared" si="24"/>
        <v>0</v>
      </c>
      <c r="H143" s="577">
        <f t="shared" si="24"/>
        <v>0</v>
      </c>
      <c r="I143" s="41">
        <f t="shared" si="24"/>
        <v>0</v>
      </c>
      <c r="J143" s="41">
        <f t="shared" si="24"/>
        <v>0</v>
      </c>
      <c r="K143" s="41">
        <f t="shared" si="24"/>
        <v>0</v>
      </c>
      <c r="L143" s="41">
        <f t="shared" si="24"/>
        <v>0</v>
      </c>
      <c r="M143" s="41">
        <f t="shared" si="24"/>
        <v>0</v>
      </c>
      <c r="N143" s="41">
        <f t="shared" si="24"/>
        <v>0</v>
      </c>
      <c r="O143" s="41">
        <f t="shared" si="24"/>
        <v>0</v>
      </c>
      <c r="P143" s="41">
        <f t="shared" si="24"/>
        <v>0</v>
      </c>
      <c r="Q143" s="41">
        <f t="shared" si="24"/>
        <v>0</v>
      </c>
      <c r="R143" s="41">
        <f t="shared" si="24"/>
        <v>0</v>
      </c>
      <c r="S143" s="41">
        <f t="shared" si="24"/>
        <v>0</v>
      </c>
      <c r="T143" s="41">
        <f t="shared" si="24"/>
        <v>0</v>
      </c>
      <c r="U143" s="577">
        <f t="shared" si="24"/>
        <v>0</v>
      </c>
      <c r="V143" s="41">
        <f t="shared" si="24"/>
        <v>0</v>
      </c>
      <c r="W143" s="41">
        <f t="shared" si="24"/>
        <v>0</v>
      </c>
      <c r="X143" s="41">
        <f t="shared" si="24"/>
        <v>0</v>
      </c>
      <c r="Y143" s="41">
        <f t="shared" si="24"/>
        <v>0</v>
      </c>
      <c r="Z143" s="41">
        <f t="shared" si="24"/>
        <v>0</v>
      </c>
      <c r="AA143" s="41">
        <f t="shared" si="24"/>
        <v>0</v>
      </c>
      <c r="AB143" s="41">
        <f t="shared" si="24"/>
        <v>0</v>
      </c>
      <c r="AC143" s="41">
        <f t="shared" si="24"/>
        <v>0</v>
      </c>
      <c r="AD143" s="42">
        <f t="shared" si="24"/>
        <v>0</v>
      </c>
      <c r="AI143" s="57"/>
    </row>
    <row r="144" spans="1:35" s="35" customFormat="1">
      <c r="A144" s="26"/>
      <c r="B144" s="18"/>
      <c r="C144" s="43"/>
      <c r="D144" s="578"/>
      <c r="E144" s="44"/>
      <c r="F144" s="44"/>
      <c r="G144" s="44"/>
      <c r="H144" s="578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578"/>
      <c r="V144" s="44"/>
      <c r="W144" s="44"/>
      <c r="X144" s="44"/>
      <c r="Y144" s="44"/>
      <c r="Z144" s="44"/>
      <c r="AA144" s="44"/>
      <c r="AB144" s="44"/>
      <c r="AC144" s="44"/>
      <c r="AD144" s="30"/>
      <c r="AI144" s="57"/>
    </row>
    <row r="145" spans="1:35" s="35" customFormat="1" ht="14">
      <c r="A145" s="48" t="s">
        <v>330</v>
      </c>
      <c r="B145" s="39"/>
      <c r="C145" s="40">
        <f t="shared" ref="C145:AD145" si="25">SUM(C134+C125+C117+C108+C99+C90+C81+C73+C64+C55+C46+C37+C143)</f>
        <v>0</v>
      </c>
      <c r="D145" s="577" t="e">
        <f t="shared" si="25"/>
        <v>#REF!</v>
      </c>
      <c r="E145" s="41">
        <f t="shared" si="25"/>
        <v>0</v>
      </c>
      <c r="F145" s="41">
        <f t="shared" si="25"/>
        <v>0</v>
      </c>
      <c r="G145" s="41">
        <f t="shared" si="25"/>
        <v>0</v>
      </c>
      <c r="H145" s="577" t="e">
        <f t="shared" si="25"/>
        <v>#REF!</v>
      </c>
      <c r="I145" s="41">
        <f t="shared" si="25"/>
        <v>0</v>
      </c>
      <c r="J145" s="41">
        <f t="shared" si="25"/>
        <v>0</v>
      </c>
      <c r="K145" s="41">
        <f t="shared" si="25"/>
        <v>0</v>
      </c>
      <c r="L145" s="41">
        <f t="shared" si="25"/>
        <v>0</v>
      </c>
      <c r="M145" s="41">
        <f t="shared" si="25"/>
        <v>0</v>
      </c>
      <c r="N145" s="41">
        <f t="shared" si="25"/>
        <v>0</v>
      </c>
      <c r="O145" s="41">
        <f t="shared" si="25"/>
        <v>0</v>
      </c>
      <c r="P145" s="41">
        <f t="shared" si="25"/>
        <v>0</v>
      </c>
      <c r="Q145" s="41">
        <f t="shared" si="25"/>
        <v>0</v>
      </c>
      <c r="R145" s="41">
        <f t="shared" si="25"/>
        <v>0</v>
      </c>
      <c r="S145" s="41">
        <f t="shared" si="25"/>
        <v>0</v>
      </c>
      <c r="T145" s="41">
        <f t="shared" si="25"/>
        <v>0</v>
      </c>
      <c r="U145" s="577" t="e">
        <f t="shared" si="25"/>
        <v>#REF!</v>
      </c>
      <c r="V145" s="41">
        <f t="shared" si="25"/>
        <v>0</v>
      </c>
      <c r="W145" s="41">
        <f t="shared" si="25"/>
        <v>0</v>
      </c>
      <c r="X145" s="41">
        <f t="shared" si="25"/>
        <v>0</v>
      </c>
      <c r="Y145" s="41">
        <f t="shared" si="25"/>
        <v>0</v>
      </c>
      <c r="Z145" s="41">
        <f t="shared" si="25"/>
        <v>0</v>
      </c>
      <c r="AA145" s="41">
        <f t="shared" si="25"/>
        <v>0</v>
      </c>
      <c r="AB145" s="41">
        <f t="shared" si="25"/>
        <v>0</v>
      </c>
      <c r="AC145" s="41">
        <f t="shared" si="25"/>
        <v>0</v>
      </c>
      <c r="AD145" s="42" t="e">
        <f t="shared" si="25"/>
        <v>#REF!</v>
      </c>
      <c r="AI145" s="57"/>
    </row>
    <row r="146" spans="1:35" s="35" customFormat="1" hidden="1">
      <c r="A146" s="26"/>
      <c r="B146" s="18"/>
      <c r="C146" s="43"/>
      <c r="D146" s="578"/>
      <c r="E146" s="44"/>
      <c r="F146" s="44"/>
      <c r="G146" s="44"/>
      <c r="H146" s="578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578"/>
      <c r="V146" s="44"/>
      <c r="W146" s="44"/>
      <c r="X146" s="44"/>
      <c r="Y146" s="44"/>
      <c r="Z146" s="44"/>
      <c r="AA146" s="44"/>
      <c r="AB146" s="44"/>
      <c r="AC146" s="44"/>
      <c r="AD146" s="30"/>
      <c r="AI146" s="57"/>
    </row>
    <row r="147" spans="1:35" s="35" customFormat="1" ht="14" hidden="1">
      <c r="A147" s="26" t="s">
        <v>331</v>
      </c>
      <c r="B147" s="18"/>
      <c r="C147" s="43"/>
      <c r="D147" s="578"/>
      <c r="E147" s="44"/>
      <c r="F147" s="44"/>
      <c r="G147" s="44"/>
      <c r="H147" s="578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578"/>
      <c r="V147" s="44"/>
      <c r="W147" s="44"/>
      <c r="X147" s="44"/>
      <c r="Y147" s="44"/>
      <c r="Z147" s="44"/>
      <c r="AA147" s="44"/>
      <c r="AB147" s="44"/>
      <c r="AC147" s="44"/>
      <c r="AD147" s="30"/>
      <c r="AI147" s="57"/>
    </row>
    <row r="148" spans="1:35" s="35" customFormat="1" ht="14" hidden="1">
      <c r="A148" s="36" t="s">
        <v>292</v>
      </c>
      <c r="B148" s="37" t="s">
        <v>293</v>
      </c>
      <c r="C148" s="28">
        <v>0</v>
      </c>
      <c r="D148" s="49">
        <v>0</v>
      </c>
      <c r="E148" s="29">
        <v>0</v>
      </c>
      <c r="F148" s="29">
        <v>0</v>
      </c>
      <c r="G148" s="29">
        <v>0</v>
      </c>
      <c r="H148" s="4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4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30">
        <f t="shared" si="22"/>
        <v>0</v>
      </c>
      <c r="AI148" s="57"/>
    </row>
    <row r="149" spans="1:35" s="35" customFormat="1" ht="14" hidden="1">
      <c r="A149" s="36" t="s">
        <v>294</v>
      </c>
      <c r="B149" s="37" t="s">
        <v>295</v>
      </c>
      <c r="C149" s="28">
        <v>0</v>
      </c>
      <c r="D149" s="49">
        <v>0</v>
      </c>
      <c r="E149" s="29">
        <v>0</v>
      </c>
      <c r="F149" s="29">
        <v>0</v>
      </c>
      <c r="G149" s="29">
        <v>0</v>
      </c>
      <c r="H149" s="4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4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30">
        <f t="shared" si="22"/>
        <v>0</v>
      </c>
      <c r="AI149" s="57"/>
    </row>
    <row r="150" spans="1:35" s="35" customFormat="1" ht="14" hidden="1">
      <c r="A150" s="36" t="s">
        <v>296</v>
      </c>
      <c r="B150" s="37" t="s">
        <v>297</v>
      </c>
      <c r="C150" s="28">
        <v>0</v>
      </c>
      <c r="D150" s="49">
        <v>0</v>
      </c>
      <c r="E150" s="29">
        <v>0</v>
      </c>
      <c r="F150" s="29">
        <v>0</v>
      </c>
      <c r="G150" s="29">
        <v>0</v>
      </c>
      <c r="H150" s="4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4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30">
        <f t="shared" si="22"/>
        <v>0</v>
      </c>
      <c r="AI150" s="57"/>
    </row>
    <row r="151" spans="1:35" s="35" customFormat="1" ht="14" hidden="1">
      <c r="A151" s="36" t="s">
        <v>298</v>
      </c>
      <c r="B151" s="37" t="s">
        <v>299</v>
      </c>
      <c r="C151" s="28">
        <v>0</v>
      </c>
      <c r="D151" s="49">
        <v>0</v>
      </c>
      <c r="E151" s="29">
        <v>0</v>
      </c>
      <c r="F151" s="29">
        <v>0</v>
      </c>
      <c r="G151" s="29">
        <v>0</v>
      </c>
      <c r="H151" s="4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49">
        <v>0</v>
      </c>
      <c r="V151" s="29">
        <v>0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30">
        <f t="shared" si="22"/>
        <v>0</v>
      </c>
      <c r="AI151" s="57"/>
    </row>
    <row r="152" spans="1:35" s="35" customFormat="1" ht="14" hidden="1">
      <c r="A152" s="36" t="s">
        <v>300</v>
      </c>
      <c r="B152" s="37" t="s">
        <v>301</v>
      </c>
      <c r="C152" s="28">
        <v>0</v>
      </c>
      <c r="D152" s="49">
        <v>0</v>
      </c>
      <c r="E152" s="29">
        <v>0</v>
      </c>
      <c r="F152" s="29">
        <v>0</v>
      </c>
      <c r="G152" s="29">
        <v>0</v>
      </c>
      <c r="H152" s="4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4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30">
        <f t="shared" si="22"/>
        <v>0</v>
      </c>
      <c r="AI152" s="57"/>
    </row>
    <row r="153" spans="1:35" s="35" customFormat="1" ht="14" hidden="1">
      <c r="A153" s="36" t="s">
        <v>302</v>
      </c>
      <c r="B153" s="37" t="s">
        <v>303</v>
      </c>
      <c r="C153" s="28">
        <v>0</v>
      </c>
      <c r="D153" s="49">
        <v>0</v>
      </c>
      <c r="E153" s="29">
        <v>0</v>
      </c>
      <c r="F153" s="29">
        <v>0</v>
      </c>
      <c r="G153" s="29">
        <v>0</v>
      </c>
      <c r="H153" s="4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4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0</v>
      </c>
      <c r="AC153" s="29">
        <v>0</v>
      </c>
      <c r="AD153" s="30">
        <f t="shared" si="22"/>
        <v>0</v>
      </c>
      <c r="AI153" s="57"/>
    </row>
    <row r="154" spans="1:35" s="35" customFormat="1" ht="14" hidden="1">
      <c r="A154" s="48" t="s">
        <v>332</v>
      </c>
      <c r="B154" s="39"/>
      <c r="C154" s="40">
        <f t="shared" ref="C154:AD154" si="26">SUM(C148:C153)</f>
        <v>0</v>
      </c>
      <c r="D154" s="577">
        <f t="shared" si="26"/>
        <v>0</v>
      </c>
      <c r="E154" s="41">
        <f t="shared" si="26"/>
        <v>0</v>
      </c>
      <c r="F154" s="41">
        <f t="shared" si="26"/>
        <v>0</v>
      </c>
      <c r="G154" s="41">
        <f t="shared" si="26"/>
        <v>0</v>
      </c>
      <c r="H154" s="577">
        <f t="shared" si="26"/>
        <v>0</v>
      </c>
      <c r="I154" s="41">
        <f t="shared" si="26"/>
        <v>0</v>
      </c>
      <c r="J154" s="41">
        <f t="shared" ref="J154" si="27">SUM(J148:J153)</f>
        <v>0</v>
      </c>
      <c r="K154" s="41">
        <f t="shared" si="26"/>
        <v>0</v>
      </c>
      <c r="L154" s="41">
        <f t="shared" si="26"/>
        <v>0</v>
      </c>
      <c r="M154" s="41">
        <f t="shared" si="26"/>
        <v>0</v>
      </c>
      <c r="N154" s="41">
        <f t="shared" si="26"/>
        <v>0</v>
      </c>
      <c r="O154" s="41">
        <f t="shared" si="26"/>
        <v>0</v>
      </c>
      <c r="P154" s="41">
        <f t="shared" si="26"/>
        <v>0</v>
      </c>
      <c r="Q154" s="41">
        <f t="shared" si="26"/>
        <v>0</v>
      </c>
      <c r="R154" s="41">
        <f t="shared" si="26"/>
        <v>0</v>
      </c>
      <c r="S154" s="41">
        <f t="shared" si="26"/>
        <v>0</v>
      </c>
      <c r="T154" s="41">
        <f t="shared" si="26"/>
        <v>0</v>
      </c>
      <c r="U154" s="577">
        <f t="shared" si="26"/>
        <v>0</v>
      </c>
      <c r="V154" s="41">
        <f t="shared" si="26"/>
        <v>0</v>
      </c>
      <c r="W154" s="41">
        <f t="shared" si="26"/>
        <v>0</v>
      </c>
      <c r="X154" s="41">
        <f t="shared" si="26"/>
        <v>0</v>
      </c>
      <c r="Y154" s="41">
        <f t="shared" si="26"/>
        <v>0</v>
      </c>
      <c r="Z154" s="41">
        <f t="shared" si="26"/>
        <v>0</v>
      </c>
      <c r="AA154" s="41">
        <f t="shared" si="26"/>
        <v>0</v>
      </c>
      <c r="AB154" s="41">
        <f t="shared" si="26"/>
        <v>0</v>
      </c>
      <c r="AC154" s="41">
        <f t="shared" si="26"/>
        <v>0</v>
      </c>
      <c r="AD154" s="42">
        <f t="shared" si="26"/>
        <v>0</v>
      </c>
      <c r="AI154" s="57"/>
    </row>
    <row r="155" spans="1:35" s="35" customFormat="1">
      <c r="A155" s="26"/>
      <c r="B155" s="18"/>
      <c r="C155" s="43"/>
      <c r="D155" s="578"/>
      <c r="E155" s="44"/>
      <c r="F155" s="44"/>
      <c r="G155" s="44"/>
      <c r="H155" s="578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578"/>
      <c r="V155" s="44"/>
      <c r="W155" s="44"/>
      <c r="X155" s="44"/>
      <c r="Y155" s="44"/>
      <c r="Z155" s="44"/>
      <c r="AA155" s="44"/>
      <c r="AB155" s="44"/>
      <c r="AC155" s="44"/>
      <c r="AD155" s="30"/>
      <c r="AI155" s="57"/>
    </row>
    <row r="156" spans="1:35" s="35" customFormat="1" ht="42">
      <c r="A156" s="26" t="s">
        <v>333</v>
      </c>
      <c r="B156" s="18"/>
      <c r="C156" s="43"/>
      <c r="D156" s="578"/>
      <c r="E156" s="44"/>
      <c r="F156" s="44"/>
      <c r="G156" s="44"/>
      <c r="H156" s="578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578"/>
      <c r="V156" s="44"/>
      <c r="W156" s="44"/>
      <c r="X156" s="44"/>
      <c r="Y156" s="44"/>
      <c r="Z156" s="44"/>
      <c r="AA156" s="44"/>
      <c r="AB156" s="44"/>
      <c r="AC156" s="44"/>
      <c r="AD156" s="30"/>
      <c r="AI156" s="57"/>
    </row>
    <row r="157" spans="1:35" s="35" customFormat="1" ht="14">
      <c r="A157" s="36" t="s">
        <v>292</v>
      </c>
      <c r="B157" s="37" t="s">
        <v>293</v>
      </c>
      <c r="C157" s="50" t="s">
        <v>334</v>
      </c>
      <c r="D157" s="580">
        <v>0</v>
      </c>
      <c r="E157" s="51" t="s">
        <v>334</v>
      </c>
      <c r="F157" s="51" t="s">
        <v>334</v>
      </c>
      <c r="G157" s="51" t="s">
        <v>334</v>
      </c>
      <c r="H157" s="580">
        <v>0</v>
      </c>
      <c r="I157" s="51" t="s">
        <v>334</v>
      </c>
      <c r="J157" s="51" t="s">
        <v>334</v>
      </c>
      <c r="K157" s="51" t="s">
        <v>334</v>
      </c>
      <c r="L157" s="51" t="s">
        <v>334</v>
      </c>
      <c r="M157" s="51" t="s">
        <v>334</v>
      </c>
      <c r="N157" s="51">
        <v>0</v>
      </c>
      <c r="O157" s="51" t="s">
        <v>334</v>
      </c>
      <c r="P157" s="51" t="s">
        <v>334</v>
      </c>
      <c r="Q157" s="51" t="s">
        <v>334</v>
      </c>
      <c r="R157" s="51" t="s">
        <v>334</v>
      </c>
      <c r="S157" s="51" t="s">
        <v>334</v>
      </c>
      <c r="T157" s="51" t="s">
        <v>334</v>
      </c>
      <c r="U157" s="580">
        <v>0</v>
      </c>
      <c r="V157" s="51" t="s">
        <v>334</v>
      </c>
      <c r="W157" s="51" t="s">
        <v>334</v>
      </c>
      <c r="X157" s="51" t="s">
        <v>334</v>
      </c>
      <c r="Y157" s="51" t="s">
        <v>334</v>
      </c>
      <c r="Z157" s="51" t="s">
        <v>334</v>
      </c>
      <c r="AA157" s="51" t="s">
        <v>334</v>
      </c>
      <c r="AB157" s="51" t="s">
        <v>334</v>
      </c>
      <c r="AC157" s="51" t="s">
        <v>334</v>
      </c>
      <c r="AD157" s="52">
        <f t="shared" si="22"/>
        <v>0</v>
      </c>
      <c r="AI157" s="57"/>
    </row>
    <row r="158" spans="1:35" s="35" customFormat="1" ht="14">
      <c r="A158" s="36" t="s">
        <v>294</v>
      </c>
      <c r="B158" s="37" t="s">
        <v>295</v>
      </c>
      <c r="C158" s="50" t="s">
        <v>334</v>
      </c>
      <c r="D158" s="580">
        <v>0</v>
      </c>
      <c r="E158" s="51" t="s">
        <v>334</v>
      </c>
      <c r="F158" s="51" t="s">
        <v>334</v>
      </c>
      <c r="G158" s="51" t="s">
        <v>334</v>
      </c>
      <c r="H158" s="580">
        <v>0</v>
      </c>
      <c r="I158" s="51" t="s">
        <v>334</v>
      </c>
      <c r="J158" s="51" t="s">
        <v>334</v>
      </c>
      <c r="K158" s="51" t="s">
        <v>334</v>
      </c>
      <c r="L158" s="51" t="s">
        <v>334</v>
      </c>
      <c r="M158" s="51" t="s">
        <v>334</v>
      </c>
      <c r="N158" s="51">
        <v>0</v>
      </c>
      <c r="O158" s="51" t="s">
        <v>334</v>
      </c>
      <c r="P158" s="51" t="s">
        <v>334</v>
      </c>
      <c r="Q158" s="51" t="s">
        <v>334</v>
      </c>
      <c r="R158" s="51" t="s">
        <v>334</v>
      </c>
      <c r="S158" s="51" t="s">
        <v>334</v>
      </c>
      <c r="T158" s="51" t="s">
        <v>334</v>
      </c>
      <c r="U158" s="580">
        <v>0</v>
      </c>
      <c r="V158" s="51" t="s">
        <v>334</v>
      </c>
      <c r="W158" s="51" t="s">
        <v>334</v>
      </c>
      <c r="X158" s="51" t="s">
        <v>334</v>
      </c>
      <c r="Y158" s="51" t="s">
        <v>334</v>
      </c>
      <c r="Z158" s="51" t="s">
        <v>334</v>
      </c>
      <c r="AA158" s="51" t="s">
        <v>334</v>
      </c>
      <c r="AB158" s="51" t="s">
        <v>334</v>
      </c>
      <c r="AC158" s="51" t="s">
        <v>334</v>
      </c>
      <c r="AD158" s="52">
        <f t="shared" si="22"/>
        <v>0</v>
      </c>
      <c r="AI158" s="57"/>
    </row>
    <row r="159" spans="1:35" s="35" customFormat="1" ht="14">
      <c r="A159" s="36" t="s">
        <v>296</v>
      </c>
      <c r="B159" s="37" t="s">
        <v>297</v>
      </c>
      <c r="C159" s="50" t="s">
        <v>334</v>
      </c>
      <c r="D159" s="580" t="e">
        <f>#REF!</f>
        <v>#REF!</v>
      </c>
      <c r="E159" s="51" t="s">
        <v>334</v>
      </c>
      <c r="F159" s="51" t="s">
        <v>334</v>
      </c>
      <c r="G159" s="51" t="s">
        <v>334</v>
      </c>
      <c r="H159" s="580">
        <v>0</v>
      </c>
      <c r="I159" s="51" t="s">
        <v>334</v>
      </c>
      <c r="J159" s="51" t="s">
        <v>334</v>
      </c>
      <c r="K159" s="51" t="s">
        <v>334</v>
      </c>
      <c r="L159" s="51" t="s">
        <v>334</v>
      </c>
      <c r="M159" s="51" t="s">
        <v>334</v>
      </c>
      <c r="N159" s="51">
        <v>0</v>
      </c>
      <c r="O159" s="51" t="s">
        <v>334</v>
      </c>
      <c r="P159" s="51" t="s">
        <v>334</v>
      </c>
      <c r="Q159" s="51" t="s">
        <v>334</v>
      </c>
      <c r="R159" s="51" t="s">
        <v>334</v>
      </c>
      <c r="S159" s="51" t="s">
        <v>334</v>
      </c>
      <c r="T159" s="51" t="s">
        <v>334</v>
      </c>
      <c r="U159" s="580">
        <v>0</v>
      </c>
      <c r="V159" s="51" t="s">
        <v>334</v>
      </c>
      <c r="W159" s="51" t="s">
        <v>334</v>
      </c>
      <c r="X159" s="51" t="s">
        <v>334</v>
      </c>
      <c r="Y159" s="51" t="s">
        <v>334</v>
      </c>
      <c r="Z159" s="51" t="s">
        <v>334</v>
      </c>
      <c r="AA159" s="51" t="s">
        <v>334</v>
      </c>
      <c r="AB159" s="51" t="s">
        <v>334</v>
      </c>
      <c r="AC159" s="51" t="s">
        <v>334</v>
      </c>
      <c r="AD159" s="52" t="e">
        <f t="shared" si="22"/>
        <v>#REF!</v>
      </c>
      <c r="AI159" s="57"/>
    </row>
    <row r="160" spans="1:35" s="35" customFormat="1" ht="14">
      <c r="A160" s="36" t="s">
        <v>298</v>
      </c>
      <c r="B160" s="37" t="s">
        <v>299</v>
      </c>
      <c r="C160" s="50" t="s">
        <v>334</v>
      </c>
      <c r="D160" s="580">
        <v>0</v>
      </c>
      <c r="E160" s="51" t="s">
        <v>334</v>
      </c>
      <c r="F160" s="51" t="s">
        <v>334</v>
      </c>
      <c r="G160" s="51" t="s">
        <v>334</v>
      </c>
      <c r="H160" s="580">
        <v>0</v>
      </c>
      <c r="I160" s="51" t="s">
        <v>334</v>
      </c>
      <c r="J160" s="51" t="s">
        <v>334</v>
      </c>
      <c r="K160" s="51" t="s">
        <v>334</v>
      </c>
      <c r="L160" s="51" t="s">
        <v>334</v>
      </c>
      <c r="M160" s="51" t="s">
        <v>334</v>
      </c>
      <c r="N160" s="51">
        <v>0</v>
      </c>
      <c r="O160" s="51" t="s">
        <v>334</v>
      </c>
      <c r="P160" s="51" t="s">
        <v>334</v>
      </c>
      <c r="Q160" s="51" t="s">
        <v>334</v>
      </c>
      <c r="R160" s="51" t="s">
        <v>334</v>
      </c>
      <c r="S160" s="51" t="s">
        <v>334</v>
      </c>
      <c r="T160" s="51" t="s">
        <v>334</v>
      </c>
      <c r="U160" s="580">
        <v>0</v>
      </c>
      <c r="V160" s="51" t="s">
        <v>334</v>
      </c>
      <c r="W160" s="51" t="s">
        <v>334</v>
      </c>
      <c r="X160" s="51" t="s">
        <v>334</v>
      </c>
      <c r="Y160" s="51" t="s">
        <v>334</v>
      </c>
      <c r="Z160" s="51" t="s">
        <v>334</v>
      </c>
      <c r="AA160" s="51" t="s">
        <v>334</v>
      </c>
      <c r="AB160" s="51" t="s">
        <v>334</v>
      </c>
      <c r="AC160" s="51" t="s">
        <v>334</v>
      </c>
      <c r="AD160" s="52">
        <f t="shared" si="22"/>
        <v>0</v>
      </c>
      <c r="AI160" s="57"/>
    </row>
    <row r="161" spans="1:35" s="35" customFormat="1" ht="14">
      <c r="A161" s="36" t="s">
        <v>300</v>
      </c>
      <c r="B161" s="37" t="s">
        <v>301</v>
      </c>
      <c r="C161" s="50" t="s">
        <v>334</v>
      </c>
      <c r="D161" s="580">
        <v>0</v>
      </c>
      <c r="E161" s="51" t="s">
        <v>334</v>
      </c>
      <c r="F161" s="51" t="s">
        <v>334</v>
      </c>
      <c r="G161" s="51" t="s">
        <v>334</v>
      </c>
      <c r="H161" s="580">
        <v>0</v>
      </c>
      <c r="I161" s="51" t="s">
        <v>334</v>
      </c>
      <c r="J161" s="51" t="s">
        <v>334</v>
      </c>
      <c r="K161" s="51" t="s">
        <v>334</v>
      </c>
      <c r="L161" s="51" t="s">
        <v>334</v>
      </c>
      <c r="M161" s="51" t="s">
        <v>334</v>
      </c>
      <c r="N161" s="51">
        <v>0</v>
      </c>
      <c r="O161" s="51" t="s">
        <v>334</v>
      </c>
      <c r="P161" s="51" t="s">
        <v>334</v>
      </c>
      <c r="Q161" s="51" t="s">
        <v>334</v>
      </c>
      <c r="R161" s="51" t="s">
        <v>334</v>
      </c>
      <c r="S161" s="51" t="s">
        <v>334</v>
      </c>
      <c r="T161" s="51" t="s">
        <v>334</v>
      </c>
      <c r="U161" s="580">
        <v>0</v>
      </c>
      <c r="V161" s="51" t="s">
        <v>334</v>
      </c>
      <c r="W161" s="51" t="s">
        <v>334</v>
      </c>
      <c r="X161" s="51" t="s">
        <v>334</v>
      </c>
      <c r="Y161" s="51" t="s">
        <v>334</v>
      </c>
      <c r="Z161" s="51" t="s">
        <v>334</v>
      </c>
      <c r="AA161" s="51" t="s">
        <v>334</v>
      </c>
      <c r="AB161" s="51" t="s">
        <v>334</v>
      </c>
      <c r="AC161" s="51" t="s">
        <v>334</v>
      </c>
      <c r="AD161" s="52">
        <f t="shared" si="22"/>
        <v>0</v>
      </c>
      <c r="AI161" s="57"/>
    </row>
    <row r="162" spans="1:35" s="35" customFormat="1" ht="14">
      <c r="A162" s="36" t="s">
        <v>302</v>
      </c>
      <c r="B162" s="37" t="s">
        <v>303</v>
      </c>
      <c r="C162" s="28">
        <v>0</v>
      </c>
      <c r="D162" s="49">
        <v>0</v>
      </c>
      <c r="E162" s="29">
        <v>0</v>
      </c>
      <c r="F162" s="29">
        <v>0</v>
      </c>
      <c r="G162" s="29">
        <v>0</v>
      </c>
      <c r="H162" s="4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9">
        <v>0</v>
      </c>
      <c r="T162" s="29">
        <v>0</v>
      </c>
      <c r="U162" s="49">
        <v>0</v>
      </c>
      <c r="V162" s="29">
        <v>0</v>
      </c>
      <c r="W162" s="29">
        <v>0</v>
      </c>
      <c r="X162" s="29">
        <v>0</v>
      </c>
      <c r="Y162" s="29">
        <v>0</v>
      </c>
      <c r="Z162" s="29">
        <v>0</v>
      </c>
      <c r="AA162" s="29">
        <v>0</v>
      </c>
      <c r="AB162" s="29">
        <v>0</v>
      </c>
      <c r="AC162" s="29">
        <v>0</v>
      </c>
      <c r="AD162" s="30">
        <f t="shared" si="22"/>
        <v>0</v>
      </c>
      <c r="AI162" s="57"/>
    </row>
    <row r="163" spans="1:35" s="35" customFormat="1" ht="14">
      <c r="A163" s="48" t="s">
        <v>335</v>
      </c>
      <c r="B163" s="39"/>
      <c r="C163" s="40">
        <f t="shared" ref="C163:AD163" si="28">SUM(C157:C162)</f>
        <v>0</v>
      </c>
      <c r="D163" s="577" t="e">
        <f t="shared" si="28"/>
        <v>#REF!</v>
      </c>
      <c r="E163" s="41">
        <f t="shared" si="28"/>
        <v>0</v>
      </c>
      <c r="F163" s="41">
        <f t="shared" si="28"/>
        <v>0</v>
      </c>
      <c r="G163" s="41">
        <f>SUM(G157:G162)</f>
        <v>0</v>
      </c>
      <c r="H163" s="577">
        <f t="shared" si="28"/>
        <v>0</v>
      </c>
      <c r="I163" s="41">
        <f t="shared" si="28"/>
        <v>0</v>
      </c>
      <c r="J163" s="41">
        <f t="shared" si="28"/>
        <v>0</v>
      </c>
      <c r="K163" s="41">
        <f t="shared" si="28"/>
        <v>0</v>
      </c>
      <c r="L163" s="41">
        <f t="shared" si="28"/>
        <v>0</v>
      </c>
      <c r="M163" s="41">
        <f t="shared" si="28"/>
        <v>0</v>
      </c>
      <c r="N163" s="41">
        <f t="shared" si="28"/>
        <v>0</v>
      </c>
      <c r="O163" s="41">
        <f t="shared" si="28"/>
        <v>0</v>
      </c>
      <c r="P163" s="41">
        <f t="shared" si="28"/>
        <v>0</v>
      </c>
      <c r="Q163" s="41">
        <f t="shared" si="28"/>
        <v>0</v>
      </c>
      <c r="R163" s="41">
        <f t="shared" si="28"/>
        <v>0</v>
      </c>
      <c r="S163" s="41">
        <f t="shared" si="28"/>
        <v>0</v>
      </c>
      <c r="T163" s="41">
        <f t="shared" si="28"/>
        <v>0</v>
      </c>
      <c r="U163" s="577">
        <f t="shared" si="28"/>
        <v>0</v>
      </c>
      <c r="V163" s="41">
        <f t="shared" si="28"/>
        <v>0</v>
      </c>
      <c r="W163" s="41">
        <f t="shared" si="28"/>
        <v>0</v>
      </c>
      <c r="X163" s="41">
        <f t="shared" si="28"/>
        <v>0</v>
      </c>
      <c r="Y163" s="41">
        <f t="shared" si="28"/>
        <v>0</v>
      </c>
      <c r="Z163" s="41">
        <f t="shared" si="28"/>
        <v>0</v>
      </c>
      <c r="AA163" s="41">
        <f t="shared" si="28"/>
        <v>0</v>
      </c>
      <c r="AB163" s="41">
        <f t="shared" si="28"/>
        <v>0</v>
      </c>
      <c r="AC163" s="41">
        <f t="shared" si="28"/>
        <v>0</v>
      </c>
      <c r="AD163" s="42" t="e">
        <f t="shared" si="28"/>
        <v>#REF!</v>
      </c>
      <c r="AI163" s="57"/>
    </row>
    <row r="164" spans="1:35" s="35" customFormat="1">
      <c r="A164" s="26"/>
      <c r="B164" s="18"/>
      <c r="C164" s="43"/>
      <c r="D164" s="578"/>
      <c r="E164" s="44"/>
      <c r="F164" s="44"/>
      <c r="G164" s="44"/>
      <c r="H164" s="578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578"/>
      <c r="V164" s="44"/>
      <c r="W164" s="44"/>
      <c r="X164" s="44"/>
      <c r="Y164" s="44"/>
      <c r="Z164" s="44"/>
      <c r="AA164" s="44"/>
      <c r="AB164" s="44"/>
      <c r="AC164" s="44"/>
      <c r="AD164" s="30"/>
      <c r="AI164" s="57"/>
    </row>
    <row r="165" spans="1:35" s="35" customFormat="1" ht="14">
      <c r="A165" s="38" t="s">
        <v>68</v>
      </c>
      <c r="B165" s="39"/>
      <c r="C165" s="40">
        <f t="shared" ref="C165:AD165" si="29">SUM(C145+C28+C163+C154)</f>
        <v>0</v>
      </c>
      <c r="D165" s="577" t="e">
        <f t="shared" si="29"/>
        <v>#REF!</v>
      </c>
      <c r="E165" s="41">
        <f t="shared" si="29"/>
        <v>0</v>
      </c>
      <c r="F165" s="41">
        <f t="shared" si="29"/>
        <v>0</v>
      </c>
      <c r="G165" s="41">
        <f t="shared" si="29"/>
        <v>0</v>
      </c>
      <c r="H165" s="577" t="e">
        <f t="shared" si="29"/>
        <v>#REF!</v>
      </c>
      <c r="I165" s="41">
        <f t="shared" si="29"/>
        <v>0</v>
      </c>
      <c r="J165" s="41">
        <f t="shared" ref="J165" si="30">SUM(J145+J28+J163+J154)</f>
        <v>0</v>
      </c>
      <c r="K165" s="41">
        <f t="shared" si="29"/>
        <v>0</v>
      </c>
      <c r="L165" s="41">
        <f t="shared" si="29"/>
        <v>0</v>
      </c>
      <c r="M165" s="41">
        <f t="shared" si="29"/>
        <v>0</v>
      </c>
      <c r="N165" s="41">
        <f t="shared" si="29"/>
        <v>0</v>
      </c>
      <c r="O165" s="41">
        <f t="shared" si="29"/>
        <v>0</v>
      </c>
      <c r="P165" s="41">
        <f t="shared" si="29"/>
        <v>0</v>
      </c>
      <c r="Q165" s="41">
        <f t="shared" si="29"/>
        <v>0</v>
      </c>
      <c r="R165" s="41">
        <f t="shared" si="29"/>
        <v>0</v>
      </c>
      <c r="S165" s="41">
        <f t="shared" si="29"/>
        <v>0</v>
      </c>
      <c r="T165" s="41">
        <f t="shared" si="29"/>
        <v>0</v>
      </c>
      <c r="U165" s="577" t="e">
        <f t="shared" si="29"/>
        <v>#REF!</v>
      </c>
      <c r="V165" s="41">
        <f t="shared" si="29"/>
        <v>0</v>
      </c>
      <c r="W165" s="41">
        <f t="shared" si="29"/>
        <v>0</v>
      </c>
      <c r="X165" s="41">
        <f t="shared" si="29"/>
        <v>0</v>
      </c>
      <c r="Y165" s="41">
        <f t="shared" si="29"/>
        <v>0</v>
      </c>
      <c r="Z165" s="41">
        <f t="shared" si="29"/>
        <v>0</v>
      </c>
      <c r="AA165" s="41">
        <f t="shared" si="29"/>
        <v>0</v>
      </c>
      <c r="AB165" s="41">
        <f t="shared" si="29"/>
        <v>0</v>
      </c>
      <c r="AC165" s="41">
        <f t="shared" si="29"/>
        <v>0</v>
      </c>
      <c r="AD165" s="42" t="e">
        <f t="shared" si="29"/>
        <v>#REF!</v>
      </c>
      <c r="AF165" s="57" t="e">
        <f>#REF!</f>
        <v>#REF!</v>
      </c>
      <c r="AG165" s="60" t="e">
        <f>AF165-AD165</f>
        <v>#REF!</v>
      </c>
      <c r="AI165" s="57"/>
    </row>
    <row r="166" spans="1:35" s="35" customFormat="1">
      <c r="A166" s="26"/>
      <c r="B166" s="18"/>
      <c r="C166" s="43"/>
      <c r="D166" s="578"/>
      <c r="E166" s="44"/>
      <c r="F166" s="44"/>
      <c r="G166" s="44"/>
      <c r="H166" s="578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578"/>
      <c r="V166" s="44"/>
      <c r="W166" s="44"/>
      <c r="X166" s="44"/>
      <c r="Y166" s="44"/>
      <c r="Z166" s="44"/>
      <c r="AA166" s="44"/>
      <c r="AB166" s="44"/>
      <c r="AC166" s="44"/>
      <c r="AD166" s="30"/>
      <c r="AI166" s="57"/>
    </row>
    <row r="167" spans="1:35" s="35" customFormat="1" ht="14">
      <c r="A167" s="26" t="s">
        <v>336</v>
      </c>
      <c r="B167" s="18"/>
      <c r="C167" s="43"/>
      <c r="D167" s="578"/>
      <c r="E167" s="44"/>
      <c r="F167" s="44"/>
      <c r="G167" s="44"/>
      <c r="H167" s="578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578"/>
      <c r="V167" s="44"/>
      <c r="W167" s="44"/>
      <c r="X167" s="44"/>
      <c r="Y167" s="44"/>
      <c r="Z167" s="44"/>
      <c r="AA167" s="44"/>
      <c r="AB167" s="44"/>
      <c r="AC167" s="44"/>
      <c r="AD167" s="30"/>
      <c r="AI167" s="57"/>
    </row>
    <row r="168" spans="1:35" s="35" customFormat="1" ht="14">
      <c r="A168" s="45" t="s">
        <v>337</v>
      </c>
      <c r="B168" s="37" t="s">
        <v>338</v>
      </c>
      <c r="C168" s="28">
        <v>0</v>
      </c>
      <c r="D168" s="49">
        <v>0</v>
      </c>
      <c r="E168" s="29">
        <v>0</v>
      </c>
      <c r="F168" s="29">
        <v>0</v>
      </c>
      <c r="G168" s="29">
        <v>0</v>
      </c>
      <c r="H168" s="4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0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4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30">
        <f t="shared" si="22"/>
        <v>0</v>
      </c>
      <c r="AI168" s="57"/>
    </row>
    <row r="169" spans="1:35" s="35" customFormat="1" ht="14">
      <c r="A169" s="45" t="s">
        <v>339</v>
      </c>
      <c r="B169" s="37" t="s">
        <v>338</v>
      </c>
      <c r="C169" s="28">
        <v>0</v>
      </c>
      <c r="D169" s="49">
        <v>0</v>
      </c>
      <c r="E169" s="29">
        <v>0</v>
      </c>
      <c r="F169" s="29">
        <v>0</v>
      </c>
      <c r="G169" s="29">
        <v>0</v>
      </c>
      <c r="H169" s="4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49">
        <v>0</v>
      </c>
      <c r="V169" s="29">
        <v>0</v>
      </c>
      <c r="W169" s="29">
        <v>0</v>
      </c>
      <c r="X169" s="29">
        <v>0</v>
      </c>
      <c r="Y169" s="29">
        <v>0</v>
      </c>
      <c r="Z169" s="29">
        <v>0</v>
      </c>
      <c r="AA169" s="29">
        <v>0</v>
      </c>
      <c r="AB169" s="29">
        <v>0</v>
      </c>
      <c r="AC169" s="29">
        <v>0</v>
      </c>
      <c r="AD169" s="30">
        <f t="shared" si="22"/>
        <v>0</v>
      </c>
      <c r="AI169" s="57"/>
    </row>
    <row r="170" spans="1:35" s="35" customFormat="1" ht="14">
      <c r="A170" s="45" t="s">
        <v>340</v>
      </c>
      <c r="B170" s="37" t="s">
        <v>338</v>
      </c>
      <c r="C170" s="28">
        <v>0</v>
      </c>
      <c r="D170" s="49">
        <v>0</v>
      </c>
      <c r="E170" s="29">
        <v>0</v>
      </c>
      <c r="F170" s="29">
        <v>0</v>
      </c>
      <c r="G170" s="29">
        <v>0</v>
      </c>
      <c r="H170" s="4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9">
        <v>0</v>
      </c>
      <c r="T170" s="29">
        <v>0</v>
      </c>
      <c r="U170" s="49">
        <v>0</v>
      </c>
      <c r="V170" s="29">
        <v>0</v>
      </c>
      <c r="W170" s="29">
        <v>0</v>
      </c>
      <c r="X170" s="29">
        <v>0</v>
      </c>
      <c r="Y170" s="29">
        <v>0</v>
      </c>
      <c r="Z170" s="29">
        <v>0</v>
      </c>
      <c r="AA170" s="29">
        <v>0</v>
      </c>
      <c r="AB170" s="29">
        <v>0</v>
      </c>
      <c r="AC170" s="29">
        <v>0</v>
      </c>
      <c r="AD170" s="30">
        <f t="shared" si="22"/>
        <v>0</v>
      </c>
      <c r="AI170" s="57"/>
    </row>
    <row r="171" spans="1:35" s="35" customFormat="1" ht="14">
      <c r="A171" s="45" t="s">
        <v>341</v>
      </c>
      <c r="B171" s="37" t="s">
        <v>338</v>
      </c>
      <c r="C171" s="28">
        <v>0</v>
      </c>
      <c r="D171" s="49">
        <v>0</v>
      </c>
      <c r="E171" s="29">
        <v>0</v>
      </c>
      <c r="F171" s="29">
        <v>0</v>
      </c>
      <c r="G171" s="29">
        <v>0</v>
      </c>
      <c r="H171" s="4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29">
        <v>0</v>
      </c>
      <c r="U171" s="49">
        <v>0</v>
      </c>
      <c r="V171" s="29">
        <v>0</v>
      </c>
      <c r="W171" s="29">
        <v>0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9">
        <v>0</v>
      </c>
      <c r="AD171" s="30">
        <f t="shared" si="22"/>
        <v>0</v>
      </c>
      <c r="AI171" s="57"/>
    </row>
    <row r="172" spans="1:35" s="35" customFormat="1" ht="14">
      <c r="A172" s="45" t="s">
        <v>342</v>
      </c>
      <c r="B172" s="37" t="s">
        <v>338</v>
      </c>
      <c r="C172" s="28">
        <v>0</v>
      </c>
      <c r="D172" s="49">
        <v>0</v>
      </c>
      <c r="E172" s="29">
        <v>0</v>
      </c>
      <c r="F172" s="29">
        <v>0</v>
      </c>
      <c r="G172" s="29">
        <v>0</v>
      </c>
      <c r="H172" s="4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49">
        <v>0</v>
      </c>
      <c r="V172" s="29">
        <v>0</v>
      </c>
      <c r="W172" s="29">
        <v>0</v>
      </c>
      <c r="X172" s="29">
        <v>0</v>
      </c>
      <c r="Y172" s="29">
        <v>0</v>
      </c>
      <c r="Z172" s="29">
        <v>0</v>
      </c>
      <c r="AA172" s="29">
        <v>0</v>
      </c>
      <c r="AB172" s="29">
        <v>0</v>
      </c>
      <c r="AC172" s="29">
        <v>0</v>
      </c>
      <c r="AD172" s="30">
        <f t="shared" si="22"/>
        <v>0</v>
      </c>
      <c r="AI172" s="57"/>
    </row>
    <row r="173" spans="1:35" s="35" customFormat="1" ht="14">
      <c r="A173" s="61" t="s">
        <v>343</v>
      </c>
      <c r="B173" s="37" t="s">
        <v>338</v>
      </c>
      <c r="C173" s="28">
        <v>0</v>
      </c>
      <c r="D173" s="49">
        <v>0</v>
      </c>
      <c r="E173" s="29">
        <v>0</v>
      </c>
      <c r="F173" s="29">
        <v>0</v>
      </c>
      <c r="G173" s="29">
        <v>0</v>
      </c>
      <c r="H173" s="4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 s="29">
        <v>0</v>
      </c>
      <c r="U173" s="4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30">
        <f t="shared" si="22"/>
        <v>0</v>
      </c>
      <c r="AI173" s="57"/>
    </row>
    <row r="174" spans="1:35" s="35" customFormat="1" ht="14">
      <c r="A174" s="38" t="s">
        <v>344</v>
      </c>
      <c r="B174" s="39"/>
      <c r="C174" s="40">
        <f>SUM(C168:C173)</f>
        <v>0</v>
      </c>
      <c r="D174" s="577">
        <f t="shared" ref="D174:AD174" si="31">SUM(D168:D173)</f>
        <v>0</v>
      </c>
      <c r="E174" s="41">
        <f t="shared" si="31"/>
        <v>0</v>
      </c>
      <c r="F174" s="41">
        <f t="shared" si="31"/>
        <v>0</v>
      </c>
      <c r="G174" s="41">
        <f t="shared" si="31"/>
        <v>0</v>
      </c>
      <c r="H174" s="577">
        <f t="shared" si="31"/>
        <v>0</v>
      </c>
      <c r="I174" s="41">
        <f t="shared" si="31"/>
        <v>0</v>
      </c>
      <c r="J174" s="41">
        <f t="shared" si="31"/>
        <v>0</v>
      </c>
      <c r="K174" s="41">
        <f t="shared" si="31"/>
        <v>0</v>
      </c>
      <c r="L174" s="41">
        <f t="shared" si="31"/>
        <v>0</v>
      </c>
      <c r="M174" s="41">
        <f t="shared" si="31"/>
        <v>0</v>
      </c>
      <c r="N174" s="41">
        <f t="shared" si="31"/>
        <v>0</v>
      </c>
      <c r="O174" s="41">
        <f t="shared" si="31"/>
        <v>0</v>
      </c>
      <c r="P174" s="41">
        <f t="shared" si="31"/>
        <v>0</v>
      </c>
      <c r="Q174" s="41">
        <f t="shared" si="31"/>
        <v>0</v>
      </c>
      <c r="R174" s="41">
        <f t="shared" si="31"/>
        <v>0</v>
      </c>
      <c r="S174" s="41">
        <f t="shared" si="31"/>
        <v>0</v>
      </c>
      <c r="T174" s="41">
        <f t="shared" si="31"/>
        <v>0</v>
      </c>
      <c r="U174" s="577">
        <f t="shared" si="31"/>
        <v>0</v>
      </c>
      <c r="V174" s="41">
        <f t="shared" si="31"/>
        <v>0</v>
      </c>
      <c r="W174" s="41">
        <f t="shared" si="31"/>
        <v>0</v>
      </c>
      <c r="X174" s="41">
        <f t="shared" si="31"/>
        <v>0</v>
      </c>
      <c r="Y174" s="41">
        <f t="shared" si="31"/>
        <v>0</v>
      </c>
      <c r="Z174" s="41">
        <f t="shared" si="31"/>
        <v>0</v>
      </c>
      <c r="AA174" s="41">
        <f t="shared" si="31"/>
        <v>0</v>
      </c>
      <c r="AB174" s="41">
        <f t="shared" si="31"/>
        <v>0</v>
      </c>
      <c r="AC174" s="41">
        <f t="shared" si="31"/>
        <v>0</v>
      </c>
      <c r="AD174" s="42">
        <f t="shared" si="31"/>
        <v>0</v>
      </c>
      <c r="AI174" s="57"/>
    </row>
    <row r="175" spans="1:35" s="35" customFormat="1">
      <c r="A175" s="26"/>
      <c r="B175" s="18"/>
      <c r="C175" s="43"/>
      <c r="D175" s="578"/>
      <c r="E175" s="44"/>
      <c r="F175" s="44"/>
      <c r="G175" s="44"/>
      <c r="H175" s="578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578"/>
      <c r="V175" s="44"/>
      <c r="W175" s="44"/>
      <c r="X175" s="44"/>
      <c r="Y175" s="44"/>
      <c r="Z175" s="44"/>
      <c r="AA175" s="44"/>
      <c r="AB175" s="44"/>
      <c r="AC175" s="44"/>
      <c r="AD175" s="30"/>
      <c r="AI175" s="57"/>
    </row>
    <row r="176" spans="1:35" s="35" customFormat="1" ht="14">
      <c r="A176" s="38" t="s">
        <v>345</v>
      </c>
      <c r="B176" s="39"/>
      <c r="C176" s="40">
        <f t="shared" ref="C176:AD176" si="32">C165+C174</f>
        <v>0</v>
      </c>
      <c r="D176" s="577" t="e">
        <f t="shared" si="32"/>
        <v>#REF!</v>
      </c>
      <c r="E176" s="41">
        <f t="shared" si="32"/>
        <v>0</v>
      </c>
      <c r="F176" s="41">
        <f t="shared" si="32"/>
        <v>0</v>
      </c>
      <c r="G176" s="41">
        <f t="shared" si="32"/>
        <v>0</v>
      </c>
      <c r="H176" s="577" t="e">
        <f t="shared" si="32"/>
        <v>#REF!</v>
      </c>
      <c r="I176" s="41">
        <f t="shared" si="32"/>
        <v>0</v>
      </c>
      <c r="J176" s="41">
        <f t="shared" si="32"/>
        <v>0</v>
      </c>
      <c r="K176" s="41">
        <f t="shared" si="32"/>
        <v>0</v>
      </c>
      <c r="L176" s="41">
        <f t="shared" si="32"/>
        <v>0</v>
      </c>
      <c r="M176" s="41">
        <f t="shared" si="32"/>
        <v>0</v>
      </c>
      <c r="N176" s="41">
        <f t="shared" si="32"/>
        <v>0</v>
      </c>
      <c r="O176" s="41">
        <f t="shared" si="32"/>
        <v>0</v>
      </c>
      <c r="P176" s="41">
        <f t="shared" si="32"/>
        <v>0</v>
      </c>
      <c r="Q176" s="41">
        <f t="shared" si="32"/>
        <v>0</v>
      </c>
      <c r="R176" s="41">
        <f t="shared" si="32"/>
        <v>0</v>
      </c>
      <c r="S176" s="41">
        <f t="shared" si="32"/>
        <v>0</v>
      </c>
      <c r="T176" s="41">
        <f t="shared" si="32"/>
        <v>0</v>
      </c>
      <c r="U176" s="577" t="e">
        <f t="shared" si="32"/>
        <v>#REF!</v>
      </c>
      <c r="V176" s="41">
        <f t="shared" si="32"/>
        <v>0</v>
      </c>
      <c r="W176" s="41">
        <f t="shared" si="32"/>
        <v>0</v>
      </c>
      <c r="X176" s="41">
        <f t="shared" si="32"/>
        <v>0</v>
      </c>
      <c r="Y176" s="41">
        <f t="shared" si="32"/>
        <v>0</v>
      </c>
      <c r="Z176" s="41">
        <f t="shared" si="32"/>
        <v>0</v>
      </c>
      <c r="AA176" s="41">
        <f t="shared" si="32"/>
        <v>0</v>
      </c>
      <c r="AB176" s="41">
        <f t="shared" si="32"/>
        <v>0</v>
      </c>
      <c r="AC176" s="41">
        <f t="shared" si="32"/>
        <v>0</v>
      </c>
      <c r="AD176" s="42" t="e">
        <f t="shared" si="32"/>
        <v>#REF!</v>
      </c>
      <c r="AI176" s="57"/>
    </row>
    <row r="177" spans="1:35" s="35" customFormat="1">
      <c r="A177" s="26"/>
      <c r="B177" s="18"/>
      <c r="C177" s="43"/>
      <c r="D177" s="578"/>
      <c r="E177" s="44"/>
      <c r="F177" s="44"/>
      <c r="G177" s="44"/>
      <c r="H177" s="578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578"/>
      <c r="V177" s="44"/>
      <c r="W177" s="44"/>
      <c r="X177" s="44"/>
      <c r="Y177" s="44"/>
      <c r="Z177" s="44"/>
      <c r="AA177" s="44"/>
      <c r="AB177" s="44"/>
      <c r="AC177" s="44"/>
      <c r="AD177" s="30"/>
      <c r="AI177" s="57"/>
    </row>
    <row r="178" spans="1:35" s="35" customFormat="1" ht="14">
      <c r="A178" s="26" t="s">
        <v>346</v>
      </c>
      <c r="B178" s="18"/>
      <c r="C178" s="43"/>
      <c r="D178" s="578"/>
      <c r="E178" s="44"/>
      <c r="F178" s="44"/>
      <c r="G178" s="44"/>
      <c r="H178" s="578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578"/>
      <c r="V178" s="44"/>
      <c r="W178" s="44"/>
      <c r="X178" s="44"/>
      <c r="Y178" s="44"/>
      <c r="Z178" s="44"/>
      <c r="AA178" s="44"/>
      <c r="AB178" s="44"/>
      <c r="AC178" s="44"/>
      <c r="AD178" s="30"/>
      <c r="AI178" s="57"/>
    </row>
    <row r="179" spans="1:35" s="35" customFormat="1" ht="14">
      <c r="A179" s="45" t="s">
        <v>347</v>
      </c>
      <c r="B179" s="18" t="s">
        <v>348</v>
      </c>
      <c r="C179" s="28">
        <v>0</v>
      </c>
      <c r="D179" s="579">
        <f>18735</f>
        <v>18735</v>
      </c>
      <c r="E179" s="29">
        <v>0</v>
      </c>
      <c r="F179" s="29">
        <v>0</v>
      </c>
      <c r="G179" s="29">
        <v>0</v>
      </c>
      <c r="H179" s="4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29">
        <v>0</v>
      </c>
      <c r="U179" s="4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0</v>
      </c>
      <c r="AA179" s="29">
        <v>0</v>
      </c>
      <c r="AB179" s="29">
        <v>0</v>
      </c>
      <c r="AC179" s="29">
        <v>0</v>
      </c>
      <c r="AD179" s="30">
        <f t="shared" si="22"/>
        <v>18735</v>
      </c>
      <c r="AI179" s="57"/>
    </row>
    <row r="180" spans="1:35" s="35" customFormat="1" ht="14">
      <c r="A180" s="45" t="s">
        <v>349</v>
      </c>
      <c r="B180" s="18" t="s">
        <v>350</v>
      </c>
      <c r="C180" s="28">
        <v>0</v>
      </c>
      <c r="D180" s="49">
        <v>0</v>
      </c>
      <c r="E180" s="29">
        <v>0</v>
      </c>
      <c r="F180" s="29">
        <v>0</v>
      </c>
      <c r="G180" s="29">
        <v>0</v>
      </c>
      <c r="H180" s="4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4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9">
        <v>0</v>
      </c>
      <c r="AD180" s="30">
        <f t="shared" si="22"/>
        <v>0</v>
      </c>
      <c r="AI180" s="57"/>
    </row>
    <row r="181" spans="1:35" s="35" customFormat="1" ht="14">
      <c r="A181" s="45" t="s">
        <v>351</v>
      </c>
      <c r="B181" s="18" t="s">
        <v>352</v>
      </c>
      <c r="C181" s="28">
        <v>0</v>
      </c>
      <c r="D181" s="579">
        <v>136000</v>
      </c>
      <c r="E181" s="29">
        <v>0</v>
      </c>
      <c r="F181" s="29">
        <v>0</v>
      </c>
      <c r="G181" s="29">
        <v>0</v>
      </c>
      <c r="H181" s="4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v>0</v>
      </c>
      <c r="P181" s="29">
        <v>0</v>
      </c>
      <c r="Q181" s="29">
        <v>0</v>
      </c>
      <c r="R181" s="29">
        <v>0</v>
      </c>
      <c r="S181" s="29">
        <v>0</v>
      </c>
      <c r="T181" s="29">
        <v>0</v>
      </c>
      <c r="U181" s="49">
        <v>0</v>
      </c>
      <c r="V181" s="29">
        <v>0</v>
      </c>
      <c r="W181" s="29">
        <v>0</v>
      </c>
      <c r="X181" s="29">
        <v>0</v>
      </c>
      <c r="Y181" s="29">
        <v>0</v>
      </c>
      <c r="Z181" s="29">
        <v>0</v>
      </c>
      <c r="AA181" s="29">
        <v>0</v>
      </c>
      <c r="AB181" s="29">
        <v>0</v>
      </c>
      <c r="AC181" s="29">
        <v>0</v>
      </c>
      <c r="AD181" s="30">
        <f t="shared" si="22"/>
        <v>136000</v>
      </c>
      <c r="AI181" s="57"/>
    </row>
    <row r="182" spans="1:35" s="35" customFormat="1" ht="14">
      <c r="A182" s="45" t="s">
        <v>353</v>
      </c>
      <c r="B182" s="18" t="s">
        <v>354</v>
      </c>
      <c r="C182" s="28">
        <v>0</v>
      </c>
      <c r="D182" s="49">
        <v>0</v>
      </c>
      <c r="E182" s="29">
        <v>0</v>
      </c>
      <c r="F182" s="29">
        <v>0</v>
      </c>
      <c r="G182" s="29">
        <v>0</v>
      </c>
      <c r="H182" s="49">
        <v>0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49">
        <v>0</v>
      </c>
      <c r="V182" s="29">
        <v>0</v>
      </c>
      <c r="W182" s="29">
        <v>0</v>
      </c>
      <c r="X182" s="29">
        <v>0</v>
      </c>
      <c r="Y182" s="29">
        <v>0</v>
      </c>
      <c r="Z182" s="29">
        <v>0</v>
      </c>
      <c r="AA182" s="29">
        <v>0</v>
      </c>
      <c r="AB182" s="29">
        <v>0</v>
      </c>
      <c r="AC182" s="29">
        <v>0</v>
      </c>
      <c r="AD182" s="30">
        <f t="shared" si="22"/>
        <v>0</v>
      </c>
      <c r="AI182" s="57"/>
    </row>
    <row r="183" spans="1:35" s="35" customFormat="1" ht="14">
      <c r="A183" s="61" t="s">
        <v>355</v>
      </c>
      <c r="B183" s="18" t="s">
        <v>356</v>
      </c>
      <c r="C183" s="28">
        <v>0</v>
      </c>
      <c r="D183" s="49">
        <v>0</v>
      </c>
      <c r="E183" s="29">
        <v>0</v>
      </c>
      <c r="F183" s="29">
        <v>0</v>
      </c>
      <c r="G183" s="29">
        <v>0</v>
      </c>
      <c r="H183" s="4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  <c r="R183" s="29">
        <v>0</v>
      </c>
      <c r="S183" s="29">
        <v>0</v>
      </c>
      <c r="T183" s="29">
        <v>0</v>
      </c>
      <c r="U183" s="49">
        <v>0</v>
      </c>
      <c r="V183" s="29">
        <v>0</v>
      </c>
      <c r="W183" s="29">
        <v>0</v>
      </c>
      <c r="X183" s="29">
        <v>0</v>
      </c>
      <c r="Y183" s="29">
        <v>0</v>
      </c>
      <c r="Z183" s="29">
        <v>0</v>
      </c>
      <c r="AA183" s="29">
        <v>0</v>
      </c>
      <c r="AB183" s="29">
        <v>0</v>
      </c>
      <c r="AC183" s="29">
        <v>0</v>
      </c>
      <c r="AD183" s="30">
        <f t="shared" si="22"/>
        <v>0</v>
      </c>
      <c r="AI183" s="57"/>
    </row>
    <row r="184" spans="1:35" s="35" customFormat="1" ht="14">
      <c r="A184" s="45" t="s">
        <v>357</v>
      </c>
      <c r="B184" s="18" t="s">
        <v>358</v>
      </c>
      <c r="C184" s="28">
        <v>0</v>
      </c>
      <c r="D184" s="49">
        <v>0</v>
      </c>
      <c r="E184" s="29">
        <v>0</v>
      </c>
      <c r="F184" s="29">
        <v>0</v>
      </c>
      <c r="G184" s="29">
        <v>0</v>
      </c>
      <c r="H184" s="4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49">
        <v>0</v>
      </c>
      <c r="V184" s="29">
        <v>0</v>
      </c>
      <c r="W184" s="29">
        <v>0</v>
      </c>
      <c r="X184" s="29">
        <v>0</v>
      </c>
      <c r="Y184" s="29">
        <v>0</v>
      </c>
      <c r="Z184" s="29">
        <v>0</v>
      </c>
      <c r="AA184" s="29">
        <v>0</v>
      </c>
      <c r="AB184" s="29">
        <v>0</v>
      </c>
      <c r="AC184" s="29">
        <v>0</v>
      </c>
      <c r="AD184" s="30">
        <f t="shared" si="22"/>
        <v>0</v>
      </c>
      <c r="AI184" s="57"/>
    </row>
    <row r="185" spans="1:35" s="35" customFormat="1" ht="14">
      <c r="A185" s="45" t="s">
        <v>359</v>
      </c>
      <c r="B185" s="18" t="s">
        <v>360</v>
      </c>
      <c r="C185" s="28">
        <v>0</v>
      </c>
      <c r="D185" s="49">
        <v>0</v>
      </c>
      <c r="E185" s="29">
        <v>0</v>
      </c>
      <c r="F185" s="29">
        <v>0</v>
      </c>
      <c r="G185" s="29">
        <v>0</v>
      </c>
      <c r="H185" s="4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29">
        <v>0</v>
      </c>
      <c r="U185" s="49">
        <v>0</v>
      </c>
      <c r="V185" s="29">
        <v>0</v>
      </c>
      <c r="W185" s="29">
        <v>0</v>
      </c>
      <c r="X185" s="29">
        <v>0</v>
      </c>
      <c r="Y185" s="29">
        <v>0</v>
      </c>
      <c r="Z185" s="29">
        <v>0</v>
      </c>
      <c r="AA185" s="29">
        <v>0</v>
      </c>
      <c r="AB185" s="29">
        <v>0</v>
      </c>
      <c r="AC185" s="29">
        <v>0</v>
      </c>
      <c r="AD185" s="30">
        <f t="shared" si="22"/>
        <v>0</v>
      </c>
      <c r="AI185" s="57"/>
    </row>
    <row r="186" spans="1:35" s="35" customFormat="1" ht="14">
      <c r="A186" s="45" t="s">
        <v>361</v>
      </c>
      <c r="B186" s="18" t="s">
        <v>362</v>
      </c>
      <c r="C186" s="28">
        <v>0</v>
      </c>
      <c r="D186" s="49">
        <v>0</v>
      </c>
      <c r="E186" s="29">
        <v>0</v>
      </c>
      <c r="F186" s="29">
        <v>0</v>
      </c>
      <c r="G186" s="29">
        <v>0</v>
      </c>
      <c r="H186" s="4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4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0</v>
      </c>
      <c r="AA186" s="29">
        <v>0</v>
      </c>
      <c r="AB186" s="29">
        <v>0</v>
      </c>
      <c r="AC186" s="29">
        <v>0</v>
      </c>
      <c r="AD186" s="30">
        <f t="shared" si="22"/>
        <v>0</v>
      </c>
      <c r="AI186" s="57"/>
    </row>
    <row r="187" spans="1:35" s="35" customFormat="1" ht="14">
      <c r="A187" s="45" t="s">
        <v>363</v>
      </c>
      <c r="B187" s="18" t="s">
        <v>364</v>
      </c>
      <c r="C187" s="28">
        <v>0</v>
      </c>
      <c r="D187" s="49">
        <v>0</v>
      </c>
      <c r="E187" s="29">
        <v>0</v>
      </c>
      <c r="F187" s="29">
        <v>0</v>
      </c>
      <c r="G187" s="29">
        <v>0</v>
      </c>
      <c r="H187" s="4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v>0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49">
        <v>0</v>
      </c>
      <c r="V187" s="29">
        <v>0</v>
      </c>
      <c r="W187" s="29">
        <v>0</v>
      </c>
      <c r="X187" s="29">
        <v>0</v>
      </c>
      <c r="Y187" s="29">
        <v>0</v>
      </c>
      <c r="Z187" s="29">
        <v>0</v>
      </c>
      <c r="AA187" s="29">
        <v>0</v>
      </c>
      <c r="AB187" s="29">
        <v>0</v>
      </c>
      <c r="AC187" s="29">
        <v>0</v>
      </c>
      <c r="AD187" s="30">
        <f t="shared" ref="AD187" si="33">SUM(C187:AC187)</f>
        <v>0</v>
      </c>
      <c r="AI187" s="57"/>
    </row>
    <row r="188" spans="1:35" s="35" customFormat="1" ht="14">
      <c r="A188" s="45" t="s">
        <v>365</v>
      </c>
      <c r="B188" s="18" t="s">
        <v>366</v>
      </c>
      <c r="C188" s="28">
        <v>0</v>
      </c>
      <c r="D188" s="49">
        <v>0</v>
      </c>
      <c r="E188" s="29">
        <v>0</v>
      </c>
      <c r="F188" s="29">
        <v>0</v>
      </c>
      <c r="G188" s="29">
        <v>0</v>
      </c>
      <c r="H188" s="4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29">
        <v>0</v>
      </c>
      <c r="U188" s="49">
        <v>0</v>
      </c>
      <c r="V188" s="29">
        <v>0</v>
      </c>
      <c r="W188" s="29">
        <v>0</v>
      </c>
      <c r="X188" s="29">
        <v>0</v>
      </c>
      <c r="Y188" s="29">
        <v>0</v>
      </c>
      <c r="Z188" s="29">
        <v>0</v>
      </c>
      <c r="AA188" s="29">
        <v>0</v>
      </c>
      <c r="AB188" s="29">
        <v>0</v>
      </c>
      <c r="AC188" s="29">
        <v>0</v>
      </c>
      <c r="AD188" s="30">
        <f t="shared" si="22"/>
        <v>0</v>
      </c>
      <c r="AI188" s="57"/>
    </row>
    <row r="189" spans="1:35" s="35" customFormat="1" ht="14">
      <c r="A189" s="45" t="s">
        <v>367</v>
      </c>
      <c r="B189" s="18" t="s">
        <v>366</v>
      </c>
      <c r="C189" s="28">
        <v>0</v>
      </c>
      <c r="D189" s="49">
        <v>0</v>
      </c>
      <c r="E189" s="29">
        <v>0</v>
      </c>
      <c r="F189" s="29">
        <v>0</v>
      </c>
      <c r="G189" s="29">
        <v>0</v>
      </c>
      <c r="H189" s="4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49">
        <v>0</v>
      </c>
      <c r="V189" s="29">
        <v>0</v>
      </c>
      <c r="W189" s="29">
        <v>0</v>
      </c>
      <c r="X189" s="29">
        <v>0</v>
      </c>
      <c r="Y189" s="29">
        <v>0</v>
      </c>
      <c r="Z189" s="29">
        <v>0</v>
      </c>
      <c r="AA189" s="29">
        <v>0</v>
      </c>
      <c r="AB189" s="29">
        <v>0</v>
      </c>
      <c r="AC189" s="29">
        <v>0</v>
      </c>
      <c r="AD189" s="30">
        <f t="shared" si="22"/>
        <v>0</v>
      </c>
      <c r="AI189" s="57"/>
    </row>
    <row r="190" spans="1:35" s="35" customFormat="1" ht="14">
      <c r="A190" s="45" t="s">
        <v>368</v>
      </c>
      <c r="B190" s="18" t="s">
        <v>369</v>
      </c>
      <c r="C190" s="28">
        <v>0</v>
      </c>
      <c r="D190" s="49">
        <v>0</v>
      </c>
      <c r="E190" s="29">
        <v>0</v>
      </c>
      <c r="F190" s="29">
        <v>0</v>
      </c>
      <c r="G190" s="29">
        <v>0</v>
      </c>
      <c r="H190" s="4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49">
        <v>0</v>
      </c>
      <c r="V190" s="29">
        <v>0</v>
      </c>
      <c r="W190" s="29">
        <v>0</v>
      </c>
      <c r="X190" s="29">
        <v>0</v>
      </c>
      <c r="Y190" s="29">
        <v>0</v>
      </c>
      <c r="Z190" s="29">
        <v>0</v>
      </c>
      <c r="AA190" s="29">
        <v>0</v>
      </c>
      <c r="AB190" s="29">
        <v>0</v>
      </c>
      <c r="AC190" s="29">
        <v>0</v>
      </c>
      <c r="AD190" s="30">
        <f t="shared" si="22"/>
        <v>0</v>
      </c>
      <c r="AI190" s="57"/>
    </row>
    <row r="191" spans="1:35" s="35" customFormat="1" ht="14">
      <c r="A191" s="45" t="s">
        <v>370</v>
      </c>
      <c r="B191" s="18" t="s">
        <v>371</v>
      </c>
      <c r="C191" s="28">
        <v>0</v>
      </c>
      <c r="D191" s="579">
        <f>3066610</f>
        <v>3066610</v>
      </c>
      <c r="E191" s="29">
        <v>0</v>
      </c>
      <c r="F191" s="29">
        <v>0</v>
      </c>
      <c r="G191" s="29">
        <v>0</v>
      </c>
      <c r="H191" s="4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 s="4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0</v>
      </c>
      <c r="AA191" s="29">
        <v>0</v>
      </c>
      <c r="AB191" s="29">
        <v>0</v>
      </c>
      <c r="AC191" s="29">
        <v>0</v>
      </c>
      <c r="AD191" s="30">
        <f t="shared" si="22"/>
        <v>3066610</v>
      </c>
      <c r="AI191" s="57"/>
    </row>
    <row r="192" spans="1:35" s="35" customFormat="1" ht="14">
      <c r="A192" s="45" t="s">
        <v>372</v>
      </c>
      <c r="B192" s="18" t="s">
        <v>373</v>
      </c>
      <c r="C192" s="28">
        <v>0</v>
      </c>
      <c r="D192" s="49">
        <v>0</v>
      </c>
      <c r="E192" s="29">
        <v>0</v>
      </c>
      <c r="F192" s="29">
        <v>0</v>
      </c>
      <c r="G192" s="29">
        <v>0</v>
      </c>
      <c r="H192" s="4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49">
        <v>0</v>
      </c>
      <c r="V192" s="29">
        <v>0</v>
      </c>
      <c r="W192" s="29">
        <v>0</v>
      </c>
      <c r="X192" s="29">
        <v>0</v>
      </c>
      <c r="Y192" s="29">
        <v>0</v>
      </c>
      <c r="Z192" s="29">
        <v>0</v>
      </c>
      <c r="AA192" s="29">
        <v>0</v>
      </c>
      <c r="AB192" s="29">
        <v>0</v>
      </c>
      <c r="AC192" s="29">
        <v>0</v>
      </c>
      <c r="AD192" s="30">
        <f t="shared" si="22"/>
        <v>0</v>
      </c>
      <c r="AI192" s="57"/>
    </row>
    <row r="193" spans="1:35" s="35" customFormat="1" ht="14">
      <c r="A193" s="45" t="s">
        <v>374</v>
      </c>
      <c r="B193" s="18" t="s">
        <v>375</v>
      </c>
      <c r="C193" s="28">
        <v>0</v>
      </c>
      <c r="D193" s="49">
        <v>0</v>
      </c>
      <c r="E193" s="29">
        <v>0</v>
      </c>
      <c r="F193" s="29">
        <v>0</v>
      </c>
      <c r="G193" s="29">
        <v>0</v>
      </c>
      <c r="H193" s="4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  <c r="R193" s="29">
        <v>0</v>
      </c>
      <c r="S193" s="29">
        <v>0</v>
      </c>
      <c r="T193" s="29">
        <v>0</v>
      </c>
      <c r="U193" s="579">
        <f>25636+281</f>
        <v>25917</v>
      </c>
      <c r="V193" s="29">
        <v>0</v>
      </c>
      <c r="W193" s="29">
        <v>0</v>
      </c>
      <c r="X193" s="29">
        <v>0</v>
      </c>
      <c r="Y193" s="29">
        <v>0</v>
      </c>
      <c r="Z193" s="29">
        <v>0</v>
      </c>
      <c r="AA193" s="29">
        <v>0</v>
      </c>
      <c r="AB193" s="29">
        <v>0</v>
      </c>
      <c r="AC193" s="29">
        <v>0</v>
      </c>
      <c r="AD193" s="30">
        <f t="shared" si="22"/>
        <v>25917</v>
      </c>
      <c r="AI193" s="57"/>
    </row>
    <row r="194" spans="1:35" s="35" customFormat="1" ht="14">
      <c r="A194" s="45" t="s">
        <v>376</v>
      </c>
      <c r="B194" s="18" t="s">
        <v>377</v>
      </c>
      <c r="C194" s="28">
        <v>0</v>
      </c>
      <c r="D194" s="49">
        <v>0</v>
      </c>
      <c r="E194" s="29">
        <v>0</v>
      </c>
      <c r="F194" s="29">
        <v>0</v>
      </c>
      <c r="G194" s="29">
        <v>0</v>
      </c>
      <c r="H194" s="4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 s="49">
        <v>0</v>
      </c>
      <c r="V194" s="29">
        <v>0</v>
      </c>
      <c r="W194" s="29">
        <v>0</v>
      </c>
      <c r="X194" s="29">
        <v>0</v>
      </c>
      <c r="Y194" s="29">
        <v>0</v>
      </c>
      <c r="Z194" s="29">
        <v>0</v>
      </c>
      <c r="AA194" s="29">
        <v>0</v>
      </c>
      <c r="AB194" s="29">
        <v>0</v>
      </c>
      <c r="AC194" s="29">
        <v>0</v>
      </c>
      <c r="AD194" s="30">
        <f t="shared" si="22"/>
        <v>0</v>
      </c>
      <c r="AI194" s="57"/>
    </row>
    <row r="195" spans="1:35" s="35" customFormat="1" ht="14">
      <c r="A195" s="38" t="s">
        <v>378</v>
      </c>
      <c r="B195" s="39"/>
      <c r="C195" s="40">
        <f t="shared" ref="C195:AD195" si="34">SUM(C179:C194)</f>
        <v>0</v>
      </c>
      <c r="D195" s="577">
        <f>SUM(D179:D194)</f>
        <v>3221345</v>
      </c>
      <c r="E195" s="41">
        <f t="shared" si="34"/>
        <v>0</v>
      </c>
      <c r="F195" s="41">
        <f t="shared" si="34"/>
        <v>0</v>
      </c>
      <c r="G195" s="41">
        <f t="shared" si="34"/>
        <v>0</v>
      </c>
      <c r="H195" s="577">
        <f t="shared" si="34"/>
        <v>0</v>
      </c>
      <c r="I195" s="41">
        <f t="shared" si="34"/>
        <v>0</v>
      </c>
      <c r="J195" s="41">
        <f t="shared" si="34"/>
        <v>0</v>
      </c>
      <c r="K195" s="41">
        <f t="shared" si="34"/>
        <v>0</v>
      </c>
      <c r="L195" s="41">
        <f t="shared" si="34"/>
        <v>0</v>
      </c>
      <c r="M195" s="41">
        <f t="shared" si="34"/>
        <v>0</v>
      </c>
      <c r="N195" s="41">
        <f t="shared" si="34"/>
        <v>0</v>
      </c>
      <c r="O195" s="41">
        <f t="shared" si="34"/>
        <v>0</v>
      </c>
      <c r="P195" s="41">
        <f t="shared" si="34"/>
        <v>0</v>
      </c>
      <c r="Q195" s="41">
        <f t="shared" si="34"/>
        <v>0</v>
      </c>
      <c r="R195" s="41">
        <f t="shared" si="34"/>
        <v>0</v>
      </c>
      <c r="S195" s="41">
        <f t="shared" si="34"/>
        <v>0</v>
      </c>
      <c r="T195" s="41">
        <f t="shared" si="34"/>
        <v>0</v>
      </c>
      <c r="U195" s="577">
        <f t="shared" si="34"/>
        <v>25917</v>
      </c>
      <c r="V195" s="41">
        <f t="shared" si="34"/>
        <v>0</v>
      </c>
      <c r="W195" s="41">
        <f t="shared" si="34"/>
        <v>0</v>
      </c>
      <c r="X195" s="41">
        <f t="shared" si="34"/>
        <v>0</v>
      </c>
      <c r="Y195" s="41">
        <f t="shared" si="34"/>
        <v>0</v>
      </c>
      <c r="Z195" s="41">
        <f t="shared" si="34"/>
        <v>0</v>
      </c>
      <c r="AA195" s="41">
        <f t="shared" si="34"/>
        <v>0</v>
      </c>
      <c r="AB195" s="41">
        <f t="shared" si="34"/>
        <v>0</v>
      </c>
      <c r="AC195" s="41">
        <f t="shared" si="34"/>
        <v>0</v>
      </c>
      <c r="AD195" s="42">
        <f t="shared" si="34"/>
        <v>3247262</v>
      </c>
      <c r="AI195" s="57"/>
    </row>
    <row r="196" spans="1:35" s="35" customFormat="1">
      <c r="A196" s="26"/>
      <c r="B196" s="18"/>
      <c r="C196" s="43"/>
      <c r="D196" s="578"/>
      <c r="E196" s="44"/>
      <c r="F196" s="44"/>
      <c r="G196" s="44"/>
      <c r="H196" s="578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578"/>
      <c r="V196" s="44"/>
      <c r="W196" s="44"/>
      <c r="X196" s="44"/>
      <c r="Y196" s="44"/>
      <c r="Z196" s="44"/>
      <c r="AA196" s="44"/>
      <c r="AB196" s="44"/>
      <c r="AC196" s="44"/>
      <c r="AD196" s="30"/>
      <c r="AI196" s="57"/>
    </row>
    <row r="197" spans="1:35" s="35" customFormat="1" ht="56">
      <c r="A197" s="38" t="s">
        <v>379</v>
      </c>
      <c r="B197" s="39"/>
      <c r="C197" s="40">
        <f t="shared" ref="C197:AD197" si="35">C18-C176-C195</f>
        <v>0</v>
      </c>
      <c r="D197" s="577" t="e">
        <f>D18-D176-D195</f>
        <v>#REF!</v>
      </c>
      <c r="E197" s="41">
        <f t="shared" si="35"/>
        <v>0</v>
      </c>
      <c r="F197" s="41">
        <f t="shared" si="35"/>
        <v>0</v>
      </c>
      <c r="G197" s="41">
        <f t="shared" si="35"/>
        <v>0</v>
      </c>
      <c r="H197" s="577" t="e">
        <f t="shared" si="35"/>
        <v>#REF!</v>
      </c>
      <c r="I197" s="41">
        <f t="shared" si="35"/>
        <v>0</v>
      </c>
      <c r="J197" s="41">
        <f t="shared" si="35"/>
        <v>0</v>
      </c>
      <c r="K197" s="41">
        <f t="shared" si="35"/>
        <v>0</v>
      </c>
      <c r="L197" s="41">
        <f t="shared" si="35"/>
        <v>0</v>
      </c>
      <c r="M197" s="41">
        <f t="shared" si="35"/>
        <v>0</v>
      </c>
      <c r="N197" s="41">
        <f t="shared" si="35"/>
        <v>0</v>
      </c>
      <c r="O197" s="41">
        <f t="shared" si="35"/>
        <v>0</v>
      </c>
      <c r="P197" s="41">
        <f t="shared" si="35"/>
        <v>0</v>
      </c>
      <c r="Q197" s="41">
        <f t="shared" si="35"/>
        <v>0</v>
      </c>
      <c r="R197" s="41">
        <f t="shared" si="35"/>
        <v>0</v>
      </c>
      <c r="S197" s="41">
        <f t="shared" si="35"/>
        <v>0</v>
      </c>
      <c r="T197" s="41">
        <f t="shared" si="35"/>
        <v>0</v>
      </c>
      <c r="U197" s="577" t="e">
        <f t="shared" si="35"/>
        <v>#REF!</v>
      </c>
      <c r="V197" s="41">
        <f t="shared" si="35"/>
        <v>0</v>
      </c>
      <c r="W197" s="41">
        <f t="shared" si="35"/>
        <v>0</v>
      </c>
      <c r="X197" s="41">
        <f t="shared" si="35"/>
        <v>0</v>
      </c>
      <c r="Y197" s="41">
        <f t="shared" si="35"/>
        <v>0</v>
      </c>
      <c r="Z197" s="41">
        <f t="shared" si="35"/>
        <v>0</v>
      </c>
      <c r="AA197" s="41">
        <f t="shared" si="35"/>
        <v>0</v>
      </c>
      <c r="AB197" s="41">
        <f t="shared" si="35"/>
        <v>0</v>
      </c>
      <c r="AC197" s="41">
        <f t="shared" si="35"/>
        <v>0</v>
      </c>
      <c r="AD197" s="42" t="e">
        <f t="shared" si="35"/>
        <v>#REF!</v>
      </c>
      <c r="AI197" s="57"/>
    </row>
    <row r="199" spans="1:35" ht="28">
      <c r="A199" s="53" t="s">
        <v>380</v>
      </c>
      <c r="C199" s="54" t="str">
        <f t="shared" ref="C199:AD199" si="36">IF(C3&gt;C195,"Yes","No")</f>
        <v>No</v>
      </c>
      <c r="D199" s="581" t="str">
        <f t="shared" si="36"/>
        <v>No</v>
      </c>
      <c r="E199" s="54" t="str">
        <f t="shared" si="36"/>
        <v>No</v>
      </c>
      <c r="F199" s="54" t="str">
        <f t="shared" si="36"/>
        <v>No</v>
      </c>
      <c r="G199" s="54" t="str">
        <f t="shared" si="36"/>
        <v>No</v>
      </c>
      <c r="H199" s="581" t="str">
        <f t="shared" si="36"/>
        <v>No</v>
      </c>
      <c r="I199" s="54" t="str">
        <f t="shared" si="36"/>
        <v>No</v>
      </c>
      <c r="J199" s="54" t="str">
        <f t="shared" si="36"/>
        <v>No</v>
      </c>
      <c r="K199" s="54" t="str">
        <f t="shared" si="36"/>
        <v>No</v>
      </c>
      <c r="L199" s="54" t="str">
        <f t="shared" si="36"/>
        <v>No</v>
      </c>
      <c r="M199" s="54" t="str">
        <f t="shared" si="36"/>
        <v>No</v>
      </c>
      <c r="N199" s="54" t="str">
        <f t="shared" si="36"/>
        <v>No</v>
      </c>
      <c r="O199" s="54" t="str">
        <f t="shared" si="36"/>
        <v>No</v>
      </c>
      <c r="P199" s="54" t="str">
        <f t="shared" si="36"/>
        <v>No</v>
      </c>
      <c r="Q199" s="54" t="str">
        <f t="shared" si="36"/>
        <v>No</v>
      </c>
      <c r="R199" s="54" t="str">
        <f t="shared" si="36"/>
        <v>No</v>
      </c>
      <c r="S199" s="54" t="str">
        <f t="shared" si="36"/>
        <v>No</v>
      </c>
      <c r="T199" s="54" t="str">
        <f t="shared" si="36"/>
        <v>No</v>
      </c>
      <c r="U199" s="581" t="str">
        <f t="shared" si="36"/>
        <v>No</v>
      </c>
      <c r="V199" s="54" t="str">
        <f t="shared" si="36"/>
        <v>No</v>
      </c>
      <c r="W199" s="54" t="str">
        <f t="shared" si="36"/>
        <v>No</v>
      </c>
      <c r="X199" s="54" t="str">
        <f t="shared" si="36"/>
        <v>No</v>
      </c>
      <c r="Y199" s="54" t="str">
        <f t="shared" si="36"/>
        <v>No</v>
      </c>
      <c r="Z199" s="54" t="str">
        <f t="shared" si="36"/>
        <v>No</v>
      </c>
      <c r="AA199" s="54" t="str">
        <f t="shared" si="36"/>
        <v>No</v>
      </c>
      <c r="AB199" s="54" t="str">
        <f t="shared" si="36"/>
        <v>No</v>
      </c>
      <c r="AC199" s="54" t="str">
        <f t="shared" si="36"/>
        <v>No</v>
      </c>
      <c r="AD199" s="54" t="str">
        <f t="shared" si="36"/>
        <v>No</v>
      </c>
    </row>
  </sheetData>
  <conditionalFormatting sqref="C199:AD199">
    <cfRule type="cellIs" dxfId="0" priority="1" operator="equal">
      <formula>"Yes"</formula>
    </cfRule>
  </conditionalFormatting>
  <pageMargins left="0.7" right="0.7" top="0.75" bottom="0.75" header="0.3" footer="0.3"/>
  <pageSetup scale="81" orientation="landscape" horizontalDpi="1200" verticalDpi="1200" r:id="rId1"/>
  <rowBreaks count="5" manualBreakCount="5">
    <brk id="18" max="29" man="1"/>
    <brk id="46" max="29" man="1"/>
    <brk id="73" max="29" man="1"/>
    <brk id="108" max="29" man="1"/>
    <brk id="176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6BF2-026E-415D-B047-9123DFC42614}">
  <dimension ref="A1:W101"/>
  <sheetViews>
    <sheetView workbookViewId="0">
      <pane ySplit="6" topLeftCell="A7" activePane="bottomLeft" state="frozen"/>
      <selection pane="bottomLeft" activeCell="U6" sqref="U6"/>
    </sheetView>
  </sheetViews>
  <sheetFormatPr baseColWidth="10" defaultColWidth="8.83203125" defaultRowHeight="13.75" customHeight="1"/>
  <cols>
    <col min="1" max="1" width="4.33203125" style="340" customWidth="1"/>
    <col min="2" max="2" width="5.5" style="340" customWidth="1"/>
    <col min="3" max="4" width="4.33203125" style="340" hidden="1" customWidth="1"/>
    <col min="5" max="5" width="6.1640625" style="340" hidden="1" customWidth="1"/>
    <col min="6" max="6" width="8.6640625" style="295" hidden="1" customWidth="1"/>
    <col min="7" max="9" width="10.33203125" style="295" hidden="1" customWidth="1"/>
    <col min="10" max="10" width="6.83203125" style="295" customWidth="1"/>
    <col min="11" max="11" width="6.83203125" style="296" customWidth="1"/>
    <col min="12" max="12" width="32.83203125" style="295" bestFit="1" customWidth="1"/>
    <col min="13" max="13" width="17" style="297" customWidth="1"/>
    <col min="14" max="14" width="12.6640625" style="295" customWidth="1"/>
    <col min="15" max="15" width="13.6640625" style="295" customWidth="1"/>
    <col min="16" max="16" width="9.83203125" style="295" hidden="1" customWidth="1"/>
    <col min="17" max="17" width="14.6640625" style="295" customWidth="1"/>
    <col min="18" max="18" width="16.83203125" style="295" customWidth="1"/>
    <col min="19" max="19" width="12.6640625" style="295" customWidth="1"/>
    <col min="20" max="20" width="18" style="295" customWidth="1"/>
    <col min="21" max="21" width="39.33203125" style="334" bestFit="1" customWidth="1"/>
    <col min="22" max="22" width="11.5" style="295" bestFit="1" customWidth="1"/>
    <col min="23" max="23" width="27.1640625" style="295" bestFit="1" customWidth="1"/>
    <col min="24" max="24" width="12.5" style="295" bestFit="1" customWidth="1"/>
    <col min="25" max="16384" width="8.83203125" style="295"/>
  </cols>
  <sheetData>
    <row r="1" spans="1:23" s="399" customFormat="1" ht="13.75" customHeight="1">
      <c r="A1" s="398"/>
      <c r="B1" s="398"/>
      <c r="C1" s="398"/>
      <c r="D1" s="398"/>
      <c r="E1" s="398"/>
      <c r="G1" s="400" t="s">
        <v>623</v>
      </c>
      <c r="J1" s="291"/>
      <c r="K1" s="292"/>
      <c r="L1" s="291" t="s">
        <v>69</v>
      </c>
      <c r="M1" s="293"/>
      <c r="T1" s="401"/>
      <c r="U1" s="402"/>
    </row>
    <row r="2" spans="1:23" ht="13.75" customHeight="1">
      <c r="G2" s="403" t="s">
        <v>626</v>
      </c>
      <c r="L2" s="295" t="s">
        <v>608</v>
      </c>
      <c r="R2" s="326" t="s">
        <v>607</v>
      </c>
    </row>
    <row r="3" spans="1:23" ht="13.75" customHeight="1">
      <c r="L3" s="334" t="s">
        <v>666</v>
      </c>
      <c r="R3" s="295" t="s">
        <v>148</v>
      </c>
      <c r="T3" s="295" t="s">
        <v>148</v>
      </c>
    </row>
    <row r="4" spans="1:23" ht="13.75" customHeight="1">
      <c r="D4" s="309" t="s">
        <v>70</v>
      </c>
      <c r="M4" s="300">
        <v>1.05</v>
      </c>
      <c r="N4" s="404">
        <v>1.4500000000000001E-2</v>
      </c>
      <c r="O4" s="404">
        <v>0.214</v>
      </c>
      <c r="P4" s="404"/>
      <c r="Q4" s="404">
        <v>1.18E-2</v>
      </c>
      <c r="R4" s="405">
        <f>((623.69+5.42+38.96+45)*12)</f>
        <v>8556.84</v>
      </c>
      <c r="S4" s="404" t="s">
        <v>464</v>
      </c>
      <c r="T4" s="406">
        <f>3.6*12</f>
        <v>43.2</v>
      </c>
    </row>
    <row r="5" spans="1:23" ht="13.75" customHeight="1" thickBot="1">
      <c r="D5" s="309"/>
      <c r="J5" s="407" t="s">
        <v>136</v>
      </c>
      <c r="K5" s="407"/>
      <c r="L5" s="407" t="s">
        <v>136</v>
      </c>
      <c r="M5" s="408" t="s">
        <v>136</v>
      </c>
      <c r="N5" s="409"/>
      <c r="O5" s="409"/>
      <c r="P5" s="409"/>
      <c r="Q5" s="409"/>
      <c r="S5" s="409" t="s">
        <v>465</v>
      </c>
    </row>
    <row r="6" spans="1:23" s="410" customFormat="1" ht="49" thickBot="1">
      <c r="A6" s="340" t="s">
        <v>71</v>
      </c>
      <c r="B6" s="340" t="s">
        <v>72</v>
      </c>
      <c r="C6" s="340" t="s">
        <v>73</v>
      </c>
      <c r="D6" s="340" t="s">
        <v>74</v>
      </c>
      <c r="E6" s="340" t="s">
        <v>75</v>
      </c>
      <c r="F6" s="295" t="s">
        <v>76</v>
      </c>
      <c r="G6" s="410" t="s">
        <v>564</v>
      </c>
      <c r="H6" s="410" t="s">
        <v>568</v>
      </c>
      <c r="I6" s="410" t="s">
        <v>567</v>
      </c>
      <c r="J6" s="368" t="s">
        <v>135</v>
      </c>
      <c r="K6" s="369" t="s">
        <v>628</v>
      </c>
      <c r="L6" s="368"/>
      <c r="M6" s="370" t="s">
        <v>621</v>
      </c>
      <c r="N6" s="411" t="s">
        <v>78</v>
      </c>
      <c r="O6" s="412" t="s">
        <v>456</v>
      </c>
      <c r="P6" s="411"/>
      <c r="Q6" s="411" t="s">
        <v>81</v>
      </c>
      <c r="R6" s="411" t="s">
        <v>609</v>
      </c>
      <c r="S6" s="411" t="s">
        <v>382</v>
      </c>
      <c r="T6" s="411" t="s">
        <v>147</v>
      </c>
      <c r="U6" s="413" t="s">
        <v>149</v>
      </c>
      <c r="W6" s="410" t="s">
        <v>480</v>
      </c>
    </row>
    <row r="7" spans="1:23" s="296" customFormat="1" ht="13.75" customHeight="1">
      <c r="A7" s="303"/>
      <c r="B7" s="303"/>
      <c r="C7" s="303"/>
      <c r="D7" s="303"/>
      <c r="E7" s="303"/>
      <c r="J7" s="367"/>
      <c r="K7" s="367"/>
      <c r="L7" s="367"/>
      <c r="M7" s="371" t="s">
        <v>83</v>
      </c>
      <c r="N7" s="414" t="s">
        <v>381</v>
      </c>
      <c r="O7" s="414" t="s">
        <v>146</v>
      </c>
      <c r="P7" s="415"/>
      <c r="Q7" s="414" t="s">
        <v>144</v>
      </c>
      <c r="R7" s="414" t="s">
        <v>144</v>
      </c>
      <c r="S7" s="414" t="s">
        <v>145</v>
      </c>
      <c r="T7" s="416" t="s">
        <v>145</v>
      </c>
    </row>
    <row r="8" spans="1:23" s="306" customFormat="1" ht="13.75" customHeight="1">
      <c r="A8" s="304" t="s">
        <v>84</v>
      </c>
      <c r="B8" s="304" t="s">
        <v>85</v>
      </c>
      <c r="C8" s="304" t="s">
        <v>86</v>
      </c>
      <c r="D8" s="304" t="s">
        <v>87</v>
      </c>
      <c r="E8" s="304" t="s">
        <v>88</v>
      </c>
      <c r="F8" s="305" t="s">
        <v>89</v>
      </c>
      <c r="G8" s="305"/>
      <c r="H8" s="305"/>
      <c r="I8" s="305"/>
      <c r="J8" s="372" t="s">
        <v>90</v>
      </c>
      <c r="K8" s="373">
        <v>173</v>
      </c>
      <c r="L8" s="374" t="s">
        <v>241</v>
      </c>
      <c r="M8" s="375">
        <f>49696*M4</f>
        <v>52180.800000000003</v>
      </c>
      <c r="N8" s="307">
        <f>ROUND($M8*N$4,2)</f>
        <v>756.62</v>
      </c>
      <c r="O8" s="307">
        <f>ROUND($M8*O$4,2)</f>
        <v>11166.69</v>
      </c>
      <c r="P8" s="307">
        <f t="shared" ref="P8" si="0">ROUND($M8*P$4,2)</f>
        <v>0</v>
      </c>
      <c r="Q8" s="307">
        <f>IF(M8&gt;=18000,ROUND(18000*Q$4,2),ROUND($M8*Q$4,2))</f>
        <v>212.4</v>
      </c>
      <c r="R8" s="307">
        <f>(5.42+38.96)*12</f>
        <v>532.56000000000006</v>
      </c>
      <c r="S8" s="307">
        <f>12*20.96</f>
        <v>251.52</v>
      </c>
      <c r="T8" s="274">
        <f>$T$4</f>
        <v>43.2</v>
      </c>
      <c r="U8" s="308"/>
    </row>
    <row r="9" spans="1:23" s="306" customFormat="1" ht="13.75" customHeight="1">
      <c r="A9" s="304" t="s">
        <v>84</v>
      </c>
      <c r="B9" s="304">
        <v>910</v>
      </c>
      <c r="C9" s="304" t="s">
        <v>86</v>
      </c>
      <c r="D9" s="304" t="s">
        <v>87</v>
      </c>
      <c r="E9" s="304" t="s">
        <v>88</v>
      </c>
      <c r="F9" s="305" t="s">
        <v>103</v>
      </c>
      <c r="G9" s="305"/>
      <c r="H9" s="305"/>
      <c r="I9" s="305"/>
      <c r="J9" s="372" t="s">
        <v>90</v>
      </c>
      <c r="K9" s="376" t="s">
        <v>633</v>
      </c>
      <c r="L9" s="374" t="s">
        <v>491</v>
      </c>
      <c r="M9" s="422">
        <f>20*21*41</f>
        <v>17220</v>
      </c>
      <c r="N9" s="307">
        <f>ROUND($M9*N$4,2)</f>
        <v>249.69</v>
      </c>
      <c r="O9" s="307">
        <f>ROUND($M9*O$4,2)</f>
        <v>3685.08</v>
      </c>
      <c r="P9" s="307"/>
      <c r="Q9" s="307">
        <f>IF(M9&gt;=18000,ROUND(18000*Q$4,2),ROUND($M9*Q$4,2))</f>
        <v>203.2</v>
      </c>
      <c r="R9" s="307">
        <v>0</v>
      </c>
      <c r="S9" s="307">
        <v>0</v>
      </c>
      <c r="T9" s="307">
        <v>0</v>
      </c>
      <c r="U9" s="308"/>
      <c r="V9" s="306" t="s">
        <v>638</v>
      </c>
    </row>
    <row r="10" spans="1:23" ht="13.75" customHeight="1">
      <c r="A10" s="309" t="s">
        <v>84</v>
      </c>
      <c r="B10" s="309" t="s">
        <v>85</v>
      </c>
      <c r="C10" s="309" t="s">
        <v>86</v>
      </c>
      <c r="D10" s="309" t="s">
        <v>87</v>
      </c>
      <c r="E10" s="309" t="s">
        <v>88</v>
      </c>
      <c r="F10" s="310" t="s">
        <v>576</v>
      </c>
      <c r="G10" s="310"/>
      <c r="H10" s="310"/>
      <c r="I10" s="310"/>
      <c r="J10" s="377" t="s">
        <v>91</v>
      </c>
      <c r="K10" s="378" t="s">
        <v>633</v>
      </c>
      <c r="L10" s="366" t="s">
        <v>92</v>
      </c>
      <c r="M10" s="422">
        <f>5000+2500</f>
        <v>7500</v>
      </c>
      <c r="N10" s="312">
        <f>ROUND($M10*N$4,2)</f>
        <v>108.75</v>
      </c>
      <c r="O10" s="312">
        <v>0</v>
      </c>
      <c r="P10" s="312">
        <v>0</v>
      </c>
      <c r="Q10" s="312">
        <v>0</v>
      </c>
      <c r="R10" s="312">
        <v>0</v>
      </c>
      <c r="S10" s="312">
        <v>0</v>
      </c>
      <c r="T10" s="312">
        <v>0</v>
      </c>
      <c r="U10" s="423"/>
    </row>
    <row r="11" spans="1:23" ht="13.75" customHeight="1" thickBot="1">
      <c r="A11" s="309" t="s">
        <v>84</v>
      </c>
      <c r="B11" s="309" t="s">
        <v>85</v>
      </c>
      <c r="C11" s="309" t="s">
        <v>86</v>
      </c>
      <c r="D11" s="309" t="s">
        <v>87</v>
      </c>
      <c r="E11" s="309" t="s">
        <v>88</v>
      </c>
      <c r="F11" s="310" t="s">
        <v>93</v>
      </c>
      <c r="G11" s="310"/>
      <c r="H11" s="310"/>
      <c r="I11" s="310"/>
      <c r="J11" s="366" t="s">
        <v>94</v>
      </c>
      <c r="K11" s="367" t="s">
        <v>633</v>
      </c>
      <c r="L11" s="380" t="s">
        <v>585</v>
      </c>
      <c r="M11" s="381">
        <f>15*U11</f>
        <v>4425</v>
      </c>
      <c r="N11" s="314">
        <v>0</v>
      </c>
      <c r="O11" s="314">
        <v>0</v>
      </c>
      <c r="P11" s="314">
        <v>0</v>
      </c>
      <c r="Q11" s="314">
        <v>0</v>
      </c>
      <c r="R11" s="314">
        <v>0</v>
      </c>
      <c r="S11" s="314">
        <v>0</v>
      </c>
      <c r="T11" s="314">
        <v>0</v>
      </c>
      <c r="U11" s="424">
        <v>295</v>
      </c>
      <c r="V11" s="295" t="s">
        <v>624</v>
      </c>
    </row>
    <row r="12" spans="1:23" s="352" customFormat="1" ht="13.75" customHeight="1">
      <c r="A12" s="417" t="s">
        <v>84</v>
      </c>
      <c r="B12" s="417" t="s">
        <v>85</v>
      </c>
      <c r="C12" s="417" t="s">
        <v>86</v>
      </c>
      <c r="D12" s="417" t="s">
        <v>87</v>
      </c>
      <c r="E12" s="417" t="s">
        <v>97</v>
      </c>
      <c r="F12" s="330" t="s">
        <v>89</v>
      </c>
      <c r="G12" s="330" t="s">
        <v>563</v>
      </c>
      <c r="H12" s="330" t="s">
        <v>575</v>
      </c>
      <c r="I12" s="330">
        <v>11</v>
      </c>
      <c r="J12" s="418" t="s">
        <v>98</v>
      </c>
      <c r="K12" s="425">
        <v>173</v>
      </c>
      <c r="L12" s="418" t="s">
        <v>222</v>
      </c>
      <c r="M12" s="426">
        <f>66373</f>
        <v>66373</v>
      </c>
      <c r="N12" s="420">
        <f t="shared" ref="N12:P12" si="1">ROUND($M12*N$4,2)</f>
        <v>962.41</v>
      </c>
      <c r="O12" s="420">
        <f t="shared" si="1"/>
        <v>14203.82</v>
      </c>
      <c r="P12" s="420">
        <f t="shared" si="1"/>
        <v>0</v>
      </c>
      <c r="Q12" s="420">
        <f t="shared" ref="Q12:Q23" si="2">IF(M12&gt;=18000,ROUND(18000*Q$4,2),ROUND($M12*Q$4,2))</f>
        <v>212.4</v>
      </c>
      <c r="R12" s="420">
        <f>R4</f>
        <v>8556.84</v>
      </c>
      <c r="S12" s="420">
        <f>12*25.24</f>
        <v>302.88</v>
      </c>
      <c r="T12" s="421">
        <f>$T$4</f>
        <v>43.2</v>
      </c>
      <c r="U12" s="364"/>
      <c r="V12" s="427"/>
    </row>
    <row r="13" spans="1:23" s="306" customFormat="1" ht="13.75" customHeight="1">
      <c r="A13" s="304" t="s">
        <v>84</v>
      </c>
      <c r="B13" s="304" t="s">
        <v>85</v>
      </c>
      <c r="C13" s="304" t="s">
        <v>86</v>
      </c>
      <c r="D13" s="304" t="s">
        <v>87</v>
      </c>
      <c r="E13" s="304" t="s">
        <v>97</v>
      </c>
      <c r="F13" s="305" t="s">
        <v>89</v>
      </c>
      <c r="G13" s="305" t="s">
        <v>563</v>
      </c>
      <c r="H13" s="305" t="s">
        <v>572</v>
      </c>
      <c r="I13" s="305">
        <v>15</v>
      </c>
      <c r="J13" s="374" t="s">
        <v>98</v>
      </c>
      <c r="K13" s="382">
        <v>173</v>
      </c>
      <c r="L13" s="374" t="s">
        <v>223</v>
      </c>
      <c r="M13" s="383">
        <f>71143</f>
        <v>71143</v>
      </c>
      <c r="N13" s="307">
        <f>ROUND($M13*N$4,2)</f>
        <v>1031.57</v>
      </c>
      <c r="O13" s="307">
        <f t="shared" ref="O13:P23" si="3">ROUND($M13*O$4,2)</f>
        <v>15224.6</v>
      </c>
      <c r="P13" s="307">
        <f t="shared" si="3"/>
        <v>0</v>
      </c>
      <c r="Q13" s="307">
        <f t="shared" si="2"/>
        <v>212.4</v>
      </c>
      <c r="R13" s="307">
        <f>R4</f>
        <v>8556.84</v>
      </c>
      <c r="S13" s="307">
        <f>12*26.14</f>
        <v>313.68</v>
      </c>
      <c r="T13" s="274">
        <f>$T$4</f>
        <v>43.2</v>
      </c>
      <c r="U13" s="308"/>
    </row>
    <row r="14" spans="1:23" s="306" customFormat="1" ht="13.75" customHeight="1">
      <c r="A14" s="304" t="s">
        <v>84</v>
      </c>
      <c r="B14" s="304" t="s">
        <v>85</v>
      </c>
      <c r="C14" s="304" t="s">
        <v>86</v>
      </c>
      <c r="D14" s="304" t="s">
        <v>87</v>
      </c>
      <c r="E14" s="304" t="s">
        <v>97</v>
      </c>
      <c r="F14" s="305" t="s">
        <v>89</v>
      </c>
      <c r="G14" s="305" t="s">
        <v>566</v>
      </c>
      <c r="H14" s="305" t="s">
        <v>569</v>
      </c>
      <c r="I14" s="305">
        <v>1</v>
      </c>
      <c r="J14" s="374" t="s">
        <v>98</v>
      </c>
      <c r="K14" s="384">
        <v>173</v>
      </c>
      <c r="L14" s="374" t="s">
        <v>483</v>
      </c>
      <c r="M14" s="383">
        <v>51840</v>
      </c>
      <c r="N14" s="307">
        <f t="shared" ref="N14:P24" si="4">ROUND($M14*N$4,2)</f>
        <v>751.68</v>
      </c>
      <c r="O14" s="307">
        <f t="shared" si="3"/>
        <v>11093.76</v>
      </c>
      <c r="P14" s="307">
        <f t="shared" si="3"/>
        <v>0</v>
      </c>
      <c r="Q14" s="307">
        <f t="shared" si="2"/>
        <v>212.4</v>
      </c>
      <c r="R14" s="307">
        <f>R4-45</f>
        <v>8511.84</v>
      </c>
      <c r="S14" s="307">
        <f>12*23.16</f>
        <v>277.92</v>
      </c>
      <c r="T14" s="274">
        <f t="shared" ref="T14:T19" si="5">$T$4</f>
        <v>43.2</v>
      </c>
      <c r="U14" s="308"/>
      <c r="V14" s="315"/>
    </row>
    <row r="15" spans="1:23" s="352" customFormat="1" ht="13.75" customHeight="1">
      <c r="A15" s="417" t="s">
        <v>84</v>
      </c>
      <c r="B15" s="417" t="s">
        <v>85</v>
      </c>
      <c r="C15" s="417" t="s">
        <v>86</v>
      </c>
      <c r="D15" s="417" t="s">
        <v>87</v>
      </c>
      <c r="E15" s="417" t="s">
        <v>97</v>
      </c>
      <c r="F15" s="330" t="s">
        <v>89</v>
      </c>
      <c r="G15" s="330" t="s">
        <v>565</v>
      </c>
      <c r="H15" s="330" t="s">
        <v>574</v>
      </c>
      <c r="I15" s="330">
        <v>8</v>
      </c>
      <c r="J15" s="418" t="s">
        <v>98</v>
      </c>
      <c r="K15" s="429">
        <v>175</v>
      </c>
      <c r="L15" s="418" t="s">
        <v>622</v>
      </c>
      <c r="M15" s="422">
        <v>53888</v>
      </c>
      <c r="N15" s="420">
        <f t="shared" si="4"/>
        <v>781.38</v>
      </c>
      <c r="O15" s="420">
        <f t="shared" si="3"/>
        <v>11532.03</v>
      </c>
      <c r="P15" s="420">
        <f t="shared" si="3"/>
        <v>0</v>
      </c>
      <c r="Q15" s="420">
        <f t="shared" si="2"/>
        <v>212.4</v>
      </c>
      <c r="R15" s="420">
        <f>R4</f>
        <v>8556.84</v>
      </c>
      <c r="S15" s="420">
        <f>12*23.62</f>
        <v>283.44</v>
      </c>
      <c r="T15" s="421">
        <f t="shared" si="5"/>
        <v>43.2</v>
      </c>
      <c r="U15" s="364"/>
      <c r="V15" s="427"/>
    </row>
    <row r="16" spans="1:23" s="352" customFormat="1" ht="13.75" customHeight="1">
      <c r="A16" s="417" t="s">
        <v>84</v>
      </c>
      <c r="B16" s="417" t="s">
        <v>85</v>
      </c>
      <c r="C16" s="417" t="s">
        <v>86</v>
      </c>
      <c r="D16" s="417" t="s">
        <v>87</v>
      </c>
      <c r="E16" s="417" t="s">
        <v>97</v>
      </c>
      <c r="F16" s="330" t="s">
        <v>89</v>
      </c>
      <c r="G16" s="330" t="s">
        <v>563</v>
      </c>
      <c r="H16" s="330" t="s">
        <v>571</v>
      </c>
      <c r="I16" s="330">
        <v>10.5</v>
      </c>
      <c r="J16" s="418" t="s">
        <v>98</v>
      </c>
      <c r="K16" s="425">
        <v>173</v>
      </c>
      <c r="L16" s="418" t="s">
        <v>224</v>
      </c>
      <c r="M16" s="426">
        <f>65232</f>
        <v>65232</v>
      </c>
      <c r="N16" s="420">
        <f t="shared" si="4"/>
        <v>945.86</v>
      </c>
      <c r="O16" s="420">
        <f t="shared" si="3"/>
        <v>13959.65</v>
      </c>
      <c r="P16" s="420">
        <f t="shared" si="3"/>
        <v>0</v>
      </c>
      <c r="Q16" s="420">
        <f t="shared" si="2"/>
        <v>212.4</v>
      </c>
      <c r="R16" s="420">
        <f>(5.42+38.96)*12</f>
        <v>532.56000000000006</v>
      </c>
      <c r="S16" s="420">
        <f>12*25.13</f>
        <v>301.56</v>
      </c>
      <c r="T16" s="421">
        <f t="shared" si="5"/>
        <v>43.2</v>
      </c>
      <c r="U16" s="364"/>
      <c r="V16" s="427"/>
    </row>
    <row r="17" spans="1:23" s="352" customFormat="1" ht="13.75" customHeight="1">
      <c r="A17" s="417" t="s">
        <v>84</v>
      </c>
      <c r="B17" s="417" t="s">
        <v>85</v>
      </c>
      <c r="C17" s="417" t="s">
        <v>86</v>
      </c>
      <c r="D17" s="417" t="s">
        <v>87</v>
      </c>
      <c r="E17" s="417" t="s">
        <v>97</v>
      </c>
      <c r="F17" s="330" t="s">
        <v>89</v>
      </c>
      <c r="G17" s="330" t="s">
        <v>566</v>
      </c>
      <c r="H17" s="330" t="s">
        <v>570</v>
      </c>
      <c r="I17" s="330">
        <v>3</v>
      </c>
      <c r="J17" s="418" t="s">
        <v>98</v>
      </c>
      <c r="K17" s="425">
        <v>173</v>
      </c>
      <c r="L17" s="418" t="s">
        <v>225</v>
      </c>
      <c r="M17" s="426">
        <v>52733</v>
      </c>
      <c r="N17" s="420">
        <f t="shared" si="4"/>
        <v>764.63</v>
      </c>
      <c r="O17" s="420">
        <f t="shared" si="4"/>
        <v>11284.86</v>
      </c>
      <c r="P17" s="420">
        <f t="shared" si="4"/>
        <v>0</v>
      </c>
      <c r="Q17" s="420">
        <f t="shared" si="2"/>
        <v>212.4</v>
      </c>
      <c r="R17" s="420">
        <f>R4</f>
        <v>8556.84</v>
      </c>
      <c r="S17" s="420">
        <f>12*23.29</f>
        <v>279.48</v>
      </c>
      <c r="T17" s="421">
        <f t="shared" si="5"/>
        <v>43.2</v>
      </c>
      <c r="U17" s="364"/>
    </row>
    <row r="18" spans="1:23" s="352" customFormat="1" ht="13.75" customHeight="1">
      <c r="A18" s="417" t="s">
        <v>84</v>
      </c>
      <c r="B18" s="417" t="s">
        <v>85</v>
      </c>
      <c r="C18" s="417" t="s">
        <v>86</v>
      </c>
      <c r="D18" s="417" t="s">
        <v>87</v>
      </c>
      <c r="E18" s="417" t="s">
        <v>97</v>
      </c>
      <c r="F18" s="330" t="s">
        <v>89</v>
      </c>
      <c r="G18" s="330" t="s">
        <v>566</v>
      </c>
      <c r="H18" s="330" t="s">
        <v>581</v>
      </c>
      <c r="I18" s="330">
        <v>8</v>
      </c>
      <c r="J18" s="418" t="s">
        <v>98</v>
      </c>
      <c r="K18" s="425">
        <v>173</v>
      </c>
      <c r="L18" s="418" t="s">
        <v>226</v>
      </c>
      <c r="M18" s="426">
        <f>57511</f>
        <v>57511</v>
      </c>
      <c r="N18" s="420">
        <f t="shared" si="4"/>
        <v>833.91</v>
      </c>
      <c r="O18" s="420">
        <f t="shared" si="3"/>
        <v>12307.35</v>
      </c>
      <c r="P18" s="420">
        <f t="shared" si="3"/>
        <v>0</v>
      </c>
      <c r="Q18" s="420">
        <f t="shared" si="2"/>
        <v>212.4</v>
      </c>
      <c r="R18" s="420">
        <f>R4</f>
        <v>8556.84</v>
      </c>
      <c r="S18" s="420">
        <f>12*23.81</f>
        <v>285.71999999999997</v>
      </c>
      <c r="T18" s="421">
        <f t="shared" si="5"/>
        <v>43.2</v>
      </c>
      <c r="U18" s="364"/>
      <c r="V18" s="427"/>
    </row>
    <row r="19" spans="1:23" s="352" customFormat="1" ht="13.75" customHeight="1">
      <c r="A19" s="417" t="s">
        <v>84</v>
      </c>
      <c r="B19" s="417" t="s">
        <v>85</v>
      </c>
      <c r="C19" s="417" t="s">
        <v>86</v>
      </c>
      <c r="D19" s="417" t="s">
        <v>87</v>
      </c>
      <c r="E19" s="417" t="s">
        <v>97</v>
      </c>
      <c r="F19" s="330" t="s">
        <v>89</v>
      </c>
      <c r="G19" s="330" t="s">
        <v>563</v>
      </c>
      <c r="H19" s="330" t="s">
        <v>582</v>
      </c>
      <c r="I19" s="330">
        <v>6</v>
      </c>
      <c r="J19" s="418" t="s">
        <v>98</v>
      </c>
      <c r="K19" s="425">
        <v>173</v>
      </c>
      <c r="L19" s="418" t="s">
        <v>227</v>
      </c>
      <c r="M19" s="426">
        <f>60859</f>
        <v>60859</v>
      </c>
      <c r="N19" s="420">
        <f t="shared" si="4"/>
        <v>882.46</v>
      </c>
      <c r="O19" s="420">
        <f t="shared" si="4"/>
        <v>13023.83</v>
      </c>
      <c r="P19" s="420">
        <f t="shared" si="4"/>
        <v>0</v>
      </c>
      <c r="Q19" s="420">
        <f t="shared" si="2"/>
        <v>212.4</v>
      </c>
      <c r="R19" s="420">
        <f>R4</f>
        <v>8556.84</v>
      </c>
      <c r="S19" s="420">
        <f>12*24.39</f>
        <v>292.68</v>
      </c>
      <c r="T19" s="421">
        <f t="shared" si="5"/>
        <v>43.2</v>
      </c>
      <c r="U19" s="364"/>
      <c r="V19" s="427"/>
    </row>
    <row r="20" spans="1:23" s="352" customFormat="1" ht="13.75" customHeight="1">
      <c r="A20" s="417" t="s">
        <v>84</v>
      </c>
      <c r="B20" s="417" t="s">
        <v>85</v>
      </c>
      <c r="C20" s="417" t="s">
        <v>86</v>
      </c>
      <c r="D20" s="417" t="s">
        <v>87</v>
      </c>
      <c r="E20" s="417" t="s">
        <v>97</v>
      </c>
      <c r="F20" s="330" t="s">
        <v>89</v>
      </c>
      <c r="G20" s="330" t="s">
        <v>563</v>
      </c>
      <c r="H20" s="330" t="s">
        <v>584</v>
      </c>
      <c r="I20" s="330">
        <v>7</v>
      </c>
      <c r="J20" s="418" t="s">
        <v>98</v>
      </c>
      <c r="K20" s="428">
        <v>173</v>
      </c>
      <c r="L20" s="418" t="s">
        <v>457</v>
      </c>
      <c r="M20" s="426">
        <v>61924</v>
      </c>
      <c r="N20" s="420">
        <f t="shared" si="4"/>
        <v>897.9</v>
      </c>
      <c r="O20" s="420">
        <f t="shared" si="4"/>
        <v>13251.74</v>
      </c>
      <c r="P20" s="420">
        <f t="shared" si="4"/>
        <v>0</v>
      </c>
      <c r="Q20" s="420">
        <f t="shared" si="2"/>
        <v>212.4</v>
      </c>
      <c r="R20" s="420">
        <f>R4</f>
        <v>8556.84</v>
      </c>
      <c r="S20" s="420">
        <f>12*24.38</f>
        <v>292.56</v>
      </c>
      <c r="T20" s="421">
        <f>$T$4/2</f>
        <v>21.6</v>
      </c>
      <c r="U20" s="364"/>
      <c r="V20" s="427"/>
    </row>
    <row r="21" spans="1:23" s="352" customFormat="1" ht="13.75" customHeight="1">
      <c r="A21" s="417" t="s">
        <v>84</v>
      </c>
      <c r="B21" s="417" t="s">
        <v>85</v>
      </c>
      <c r="C21" s="417" t="s">
        <v>86</v>
      </c>
      <c r="D21" s="417" t="s">
        <v>87</v>
      </c>
      <c r="E21" s="417" t="s">
        <v>97</v>
      </c>
      <c r="F21" s="330" t="s">
        <v>89</v>
      </c>
      <c r="G21" s="330" t="s">
        <v>563</v>
      </c>
      <c r="H21" s="330" t="s">
        <v>574</v>
      </c>
      <c r="I21" s="330">
        <v>18</v>
      </c>
      <c r="J21" s="418" t="s">
        <v>98</v>
      </c>
      <c r="K21" s="429">
        <v>175</v>
      </c>
      <c r="L21" s="418" t="s">
        <v>632</v>
      </c>
      <c r="M21" s="422">
        <v>74488</v>
      </c>
      <c r="N21" s="420">
        <f t="shared" si="4"/>
        <v>1080.08</v>
      </c>
      <c r="O21" s="420">
        <f t="shared" si="4"/>
        <v>15940.43</v>
      </c>
      <c r="P21" s="420">
        <f t="shared" si="4"/>
        <v>0</v>
      </c>
      <c r="Q21" s="420">
        <f t="shared" si="2"/>
        <v>212.4</v>
      </c>
      <c r="R21" s="420">
        <f>R4</f>
        <v>8556.84</v>
      </c>
      <c r="S21" s="420">
        <f>12*24.8</f>
        <v>297.60000000000002</v>
      </c>
      <c r="T21" s="421">
        <f>$T$4</f>
        <v>43.2</v>
      </c>
      <c r="U21" s="364"/>
      <c r="V21" s="427"/>
    </row>
    <row r="22" spans="1:23" s="306" customFormat="1" ht="13.75" customHeight="1">
      <c r="A22" s="304" t="s">
        <v>84</v>
      </c>
      <c r="B22" s="304" t="s">
        <v>85</v>
      </c>
      <c r="C22" s="304" t="s">
        <v>86</v>
      </c>
      <c r="D22" s="304" t="s">
        <v>87</v>
      </c>
      <c r="E22" s="304" t="s">
        <v>97</v>
      </c>
      <c r="F22" s="305" t="s">
        <v>89</v>
      </c>
      <c r="G22" s="305" t="s">
        <v>563</v>
      </c>
      <c r="H22" s="305" t="s">
        <v>586</v>
      </c>
      <c r="I22" s="305">
        <v>5</v>
      </c>
      <c r="J22" s="374" t="s">
        <v>98</v>
      </c>
      <c r="K22" s="382">
        <v>173</v>
      </c>
      <c r="L22" s="374" t="s">
        <v>228</v>
      </c>
      <c r="M22" s="383">
        <v>58783</v>
      </c>
      <c r="N22" s="307">
        <f t="shared" si="4"/>
        <v>852.35</v>
      </c>
      <c r="O22" s="307">
        <f t="shared" si="4"/>
        <v>12579.56</v>
      </c>
      <c r="P22" s="307">
        <f t="shared" si="4"/>
        <v>0</v>
      </c>
      <c r="Q22" s="307">
        <f t="shared" si="2"/>
        <v>212.4</v>
      </c>
      <c r="R22" s="307">
        <f>R4</f>
        <v>8556.84</v>
      </c>
      <c r="S22" s="307">
        <f>12*24.09</f>
        <v>289.08</v>
      </c>
      <c r="T22" s="274">
        <f>$T$4</f>
        <v>43.2</v>
      </c>
      <c r="U22" s="308"/>
    </row>
    <row r="23" spans="1:23" s="352" customFormat="1" ht="13.75" customHeight="1">
      <c r="A23" s="417" t="s">
        <v>84</v>
      </c>
      <c r="B23" s="417" t="s">
        <v>85</v>
      </c>
      <c r="C23" s="417" t="s">
        <v>86</v>
      </c>
      <c r="D23" s="417" t="s">
        <v>87</v>
      </c>
      <c r="E23" s="417" t="s">
        <v>97</v>
      </c>
      <c r="F23" s="330" t="s">
        <v>89</v>
      </c>
      <c r="G23" s="330" t="s">
        <v>563</v>
      </c>
      <c r="H23" s="330" t="s">
        <v>582</v>
      </c>
      <c r="I23" s="330">
        <v>6</v>
      </c>
      <c r="J23" s="418" t="s">
        <v>98</v>
      </c>
      <c r="K23" s="425">
        <v>173</v>
      </c>
      <c r="L23" s="418" t="s">
        <v>489</v>
      </c>
      <c r="M23" s="426">
        <v>58518</v>
      </c>
      <c r="N23" s="420">
        <f t="shared" si="4"/>
        <v>848.51</v>
      </c>
      <c r="O23" s="420">
        <f t="shared" si="3"/>
        <v>12522.85</v>
      </c>
      <c r="P23" s="420">
        <f t="shared" si="3"/>
        <v>0</v>
      </c>
      <c r="Q23" s="420">
        <f t="shared" si="2"/>
        <v>212.4</v>
      </c>
      <c r="R23" s="420">
        <f>R4</f>
        <v>8556.84</v>
      </c>
      <c r="S23" s="420">
        <f>12*24.29</f>
        <v>291.48</v>
      </c>
      <c r="T23" s="421">
        <f>$T$4</f>
        <v>43.2</v>
      </c>
      <c r="U23" s="364"/>
      <c r="V23" s="427"/>
    </row>
    <row r="24" spans="1:23" ht="13.75" customHeight="1">
      <c r="A24" s="309" t="s">
        <v>84</v>
      </c>
      <c r="B24" s="309" t="s">
        <v>85</v>
      </c>
      <c r="C24" s="309" t="s">
        <v>86</v>
      </c>
      <c r="D24" s="309" t="s">
        <v>87</v>
      </c>
      <c r="E24" s="309" t="s">
        <v>97</v>
      </c>
      <c r="F24" s="310" t="s">
        <v>576</v>
      </c>
      <c r="G24" s="310"/>
      <c r="H24" s="310"/>
      <c r="I24" s="310"/>
      <c r="J24" s="366" t="s">
        <v>91</v>
      </c>
      <c r="K24" s="367" t="s">
        <v>633</v>
      </c>
      <c r="L24" s="366" t="s">
        <v>92</v>
      </c>
      <c r="M24" s="422">
        <f>(12*5000)</f>
        <v>60000</v>
      </c>
      <c r="N24" s="312">
        <f t="shared" si="4"/>
        <v>870</v>
      </c>
      <c r="O24" s="312">
        <v>0</v>
      </c>
      <c r="P24" s="312">
        <v>0</v>
      </c>
      <c r="Q24" s="312">
        <v>0</v>
      </c>
      <c r="R24" s="312">
        <v>0</v>
      </c>
      <c r="S24" s="312">
        <v>0</v>
      </c>
      <c r="T24" s="312">
        <v>0</v>
      </c>
      <c r="U24" s="423"/>
      <c r="V24" s="316"/>
    </row>
    <row r="25" spans="1:23" ht="13.75" customHeight="1" thickBot="1">
      <c r="A25" s="309" t="s">
        <v>84</v>
      </c>
      <c r="B25" s="309" t="s">
        <v>85</v>
      </c>
      <c r="C25" s="309" t="s">
        <v>86</v>
      </c>
      <c r="D25" s="309" t="s">
        <v>87</v>
      </c>
      <c r="E25" s="309" t="s">
        <v>97</v>
      </c>
      <c r="F25" s="310" t="s">
        <v>93</v>
      </c>
      <c r="G25" s="310"/>
      <c r="H25" s="310"/>
      <c r="I25" s="310"/>
      <c r="J25" s="366" t="s">
        <v>94</v>
      </c>
      <c r="K25" s="367" t="s">
        <v>633</v>
      </c>
      <c r="L25" s="380" t="s">
        <v>95</v>
      </c>
      <c r="M25" s="386">
        <f>12*10*U25</f>
        <v>35400</v>
      </c>
      <c r="N25" s="314">
        <v>0</v>
      </c>
      <c r="O25" s="314">
        <v>0</v>
      </c>
      <c r="P25" s="314">
        <v>0</v>
      </c>
      <c r="Q25" s="314">
        <v>0</v>
      </c>
      <c r="R25" s="314">
        <v>0</v>
      </c>
      <c r="S25" s="314">
        <v>0</v>
      </c>
      <c r="T25" s="314">
        <v>0</v>
      </c>
      <c r="U25" s="430">
        <f>U11</f>
        <v>295</v>
      </c>
      <c r="V25" s="295" t="s">
        <v>96</v>
      </c>
      <c r="W25" s="316"/>
    </row>
    <row r="26" spans="1:23" s="352" customFormat="1" ht="13.75" customHeight="1">
      <c r="A26" s="417" t="s">
        <v>84</v>
      </c>
      <c r="B26" s="417" t="s">
        <v>85</v>
      </c>
      <c r="C26" s="417" t="s">
        <v>86</v>
      </c>
      <c r="D26" s="417" t="s">
        <v>87</v>
      </c>
      <c r="E26" s="417" t="s">
        <v>123</v>
      </c>
      <c r="F26" s="330" t="s">
        <v>89</v>
      </c>
      <c r="G26" s="330" t="s">
        <v>566</v>
      </c>
      <c r="H26" s="330" t="s">
        <v>583</v>
      </c>
      <c r="I26" s="330">
        <v>13</v>
      </c>
      <c r="J26" s="418" t="s">
        <v>99</v>
      </c>
      <c r="K26" s="425">
        <v>173</v>
      </c>
      <c r="L26" s="418" t="s">
        <v>490</v>
      </c>
      <c r="M26" s="426">
        <v>62723</v>
      </c>
      <c r="N26" s="420">
        <f t="shared" ref="N26:P32" si="6">ROUND($M26*N$4,2)</f>
        <v>909.48</v>
      </c>
      <c r="O26" s="420">
        <f t="shared" ref="O26:P29" si="7">ROUND($M26*O$4,2)</f>
        <v>13422.72</v>
      </c>
      <c r="P26" s="420">
        <f t="shared" si="7"/>
        <v>0</v>
      </c>
      <c r="Q26" s="420">
        <f t="shared" ref="Q26:Q31" si="8">IF(M26&gt;=18000,ROUND(18000*Q$4,2),ROUND($M26*Q$4,2))</f>
        <v>212.4</v>
      </c>
      <c r="R26" s="420">
        <v>0</v>
      </c>
      <c r="S26" s="420">
        <f>12*24.81</f>
        <v>297.71999999999997</v>
      </c>
      <c r="T26" s="421">
        <f>$T$4</f>
        <v>43.2</v>
      </c>
      <c r="U26" s="364"/>
    </row>
    <row r="27" spans="1:23" s="352" customFormat="1" ht="13.75" customHeight="1">
      <c r="A27" s="417" t="s">
        <v>84</v>
      </c>
      <c r="B27" s="417" t="s">
        <v>85</v>
      </c>
      <c r="C27" s="417" t="s">
        <v>86</v>
      </c>
      <c r="D27" s="417" t="s">
        <v>87</v>
      </c>
      <c r="E27" s="417" t="s">
        <v>123</v>
      </c>
      <c r="F27" s="330" t="s">
        <v>89</v>
      </c>
      <c r="G27" s="330" t="s">
        <v>566</v>
      </c>
      <c r="H27" s="330" t="s">
        <v>569</v>
      </c>
      <c r="I27" s="330">
        <v>1.5</v>
      </c>
      <c r="J27" s="418" t="s">
        <v>99</v>
      </c>
      <c r="K27" s="425">
        <v>173</v>
      </c>
      <c r="L27" s="418" t="s">
        <v>478</v>
      </c>
      <c r="M27" s="419">
        <f>52008+8000</f>
        <v>60008</v>
      </c>
      <c r="N27" s="420">
        <f>ROUND($M27*N$4,2)</f>
        <v>870.12</v>
      </c>
      <c r="O27" s="420">
        <f>ROUND($M27*O$4,2)</f>
        <v>12841.71</v>
      </c>
      <c r="P27" s="420">
        <f>ROUND($M27*P$4,2)</f>
        <v>0</v>
      </c>
      <c r="Q27" s="420">
        <f t="shared" si="8"/>
        <v>212.4</v>
      </c>
      <c r="R27" s="420">
        <f>R4</f>
        <v>8556.84</v>
      </c>
      <c r="S27" s="420">
        <f>23.2*12</f>
        <v>278.39999999999998</v>
      </c>
      <c r="T27" s="421">
        <f>$T$4/2</f>
        <v>21.6</v>
      </c>
      <c r="U27" s="364" t="s">
        <v>618</v>
      </c>
    </row>
    <row r="28" spans="1:23" s="306" customFormat="1" ht="13.75" customHeight="1">
      <c r="A28" s="304" t="s">
        <v>84</v>
      </c>
      <c r="B28" s="304" t="s">
        <v>85</v>
      </c>
      <c r="C28" s="304" t="s">
        <v>86</v>
      </c>
      <c r="D28" s="304" t="s">
        <v>87</v>
      </c>
      <c r="E28" s="304" t="s">
        <v>123</v>
      </c>
      <c r="F28" s="305" t="s">
        <v>89</v>
      </c>
      <c r="G28" s="305" t="s">
        <v>563</v>
      </c>
      <c r="H28" s="305" t="s">
        <v>571</v>
      </c>
      <c r="I28" s="305">
        <v>18</v>
      </c>
      <c r="J28" s="374" t="s">
        <v>99</v>
      </c>
      <c r="K28" s="382">
        <v>173</v>
      </c>
      <c r="L28" s="374" t="s">
        <v>229</v>
      </c>
      <c r="M28" s="383">
        <v>74944</v>
      </c>
      <c r="N28" s="307">
        <f t="shared" si="6"/>
        <v>1086.69</v>
      </c>
      <c r="O28" s="307">
        <f t="shared" si="7"/>
        <v>16038.02</v>
      </c>
      <c r="P28" s="307">
        <f t="shared" si="7"/>
        <v>0</v>
      </c>
      <c r="Q28" s="307">
        <f t="shared" si="8"/>
        <v>212.4</v>
      </c>
      <c r="R28" s="307">
        <f>R4-45</f>
        <v>8511.84</v>
      </c>
      <c r="S28" s="307">
        <f>12*26.84</f>
        <v>322.08</v>
      </c>
      <c r="T28" s="274">
        <f>$T$4</f>
        <v>43.2</v>
      </c>
      <c r="U28" s="308"/>
    </row>
    <row r="29" spans="1:23" s="352" customFormat="1" ht="13.75" customHeight="1">
      <c r="A29" s="417" t="s">
        <v>84</v>
      </c>
      <c r="B29" s="417" t="s">
        <v>85</v>
      </c>
      <c r="C29" s="417" t="s">
        <v>86</v>
      </c>
      <c r="D29" s="417" t="s">
        <v>87</v>
      </c>
      <c r="E29" s="417" t="s">
        <v>123</v>
      </c>
      <c r="F29" s="330" t="s">
        <v>89</v>
      </c>
      <c r="G29" s="330" t="s">
        <v>566</v>
      </c>
      <c r="H29" s="330" t="s">
        <v>570</v>
      </c>
      <c r="I29" s="330">
        <v>4</v>
      </c>
      <c r="J29" s="418" t="s">
        <v>99</v>
      </c>
      <c r="K29" s="425">
        <v>173</v>
      </c>
      <c r="L29" s="418" t="s">
        <v>479</v>
      </c>
      <c r="M29" s="426">
        <v>53656</v>
      </c>
      <c r="N29" s="420">
        <f t="shared" si="6"/>
        <v>778.01</v>
      </c>
      <c r="O29" s="420">
        <f t="shared" si="7"/>
        <v>11482.38</v>
      </c>
      <c r="P29" s="420">
        <f t="shared" si="7"/>
        <v>0</v>
      </c>
      <c r="Q29" s="420">
        <f t="shared" si="8"/>
        <v>212.4</v>
      </c>
      <c r="R29" s="420">
        <f>R4</f>
        <v>8556.84</v>
      </c>
      <c r="S29" s="420">
        <f>12*23.37</f>
        <v>280.44</v>
      </c>
      <c r="T29" s="421">
        <f>$T$4</f>
        <v>43.2</v>
      </c>
      <c r="U29" s="364"/>
    </row>
    <row r="30" spans="1:23" s="306" customFormat="1" ht="13.75" customHeight="1">
      <c r="A30" s="304" t="s">
        <v>84</v>
      </c>
      <c r="B30" s="304" t="s">
        <v>85</v>
      </c>
      <c r="C30" s="304" t="s">
        <v>86</v>
      </c>
      <c r="D30" s="304" t="s">
        <v>87</v>
      </c>
      <c r="E30" s="304" t="s">
        <v>123</v>
      </c>
      <c r="F30" s="305" t="s">
        <v>89</v>
      </c>
      <c r="G30" s="305" t="s">
        <v>563</v>
      </c>
      <c r="H30" s="305" t="s">
        <v>581</v>
      </c>
      <c r="I30" s="305">
        <v>8</v>
      </c>
      <c r="J30" s="374" t="s">
        <v>99</v>
      </c>
      <c r="K30" s="382">
        <v>173</v>
      </c>
      <c r="L30" s="374" t="s">
        <v>230</v>
      </c>
      <c r="M30" s="383">
        <v>63007</v>
      </c>
      <c r="N30" s="307">
        <f t="shared" si="6"/>
        <v>913.6</v>
      </c>
      <c r="O30" s="307">
        <f t="shared" si="6"/>
        <v>13483.5</v>
      </c>
      <c r="P30" s="307">
        <f t="shared" si="6"/>
        <v>0</v>
      </c>
      <c r="Q30" s="307">
        <f t="shared" si="8"/>
        <v>212.4</v>
      </c>
      <c r="R30" s="307">
        <f>R4-45</f>
        <v>8511.84</v>
      </c>
      <c r="S30" s="307">
        <f>12*24.58</f>
        <v>294.95999999999998</v>
      </c>
      <c r="T30" s="274">
        <f>$T$4</f>
        <v>43.2</v>
      </c>
      <c r="U30" s="308"/>
    </row>
    <row r="31" spans="1:23" s="352" customFormat="1" ht="13.75" customHeight="1">
      <c r="A31" s="417" t="s">
        <v>84</v>
      </c>
      <c r="B31" s="417" t="s">
        <v>85</v>
      </c>
      <c r="C31" s="417" t="s">
        <v>86</v>
      </c>
      <c r="D31" s="417" t="s">
        <v>87</v>
      </c>
      <c r="E31" s="417" t="s">
        <v>123</v>
      </c>
      <c r="F31" s="330" t="s">
        <v>89</v>
      </c>
      <c r="G31" s="330" t="s">
        <v>563</v>
      </c>
      <c r="H31" s="330" t="s">
        <v>574</v>
      </c>
      <c r="I31" s="330">
        <v>17</v>
      </c>
      <c r="J31" s="418" t="s">
        <v>99</v>
      </c>
      <c r="K31" s="429">
        <v>175</v>
      </c>
      <c r="L31" s="418" t="s">
        <v>631</v>
      </c>
      <c r="M31" s="422">
        <f>73655+3000</f>
        <v>76655</v>
      </c>
      <c r="N31" s="420">
        <f t="shared" si="6"/>
        <v>1111.5</v>
      </c>
      <c r="O31" s="420">
        <f t="shared" si="6"/>
        <v>16404.169999999998</v>
      </c>
      <c r="P31" s="420">
        <f t="shared" si="6"/>
        <v>0</v>
      </c>
      <c r="Q31" s="420">
        <f t="shared" si="8"/>
        <v>212.4</v>
      </c>
      <c r="R31" s="420">
        <f>R4</f>
        <v>8556.84</v>
      </c>
      <c r="S31" s="420">
        <f>12*28.46</f>
        <v>341.52</v>
      </c>
      <c r="T31" s="421">
        <f>$T$4</f>
        <v>43.2</v>
      </c>
      <c r="U31" s="364" t="s">
        <v>620</v>
      </c>
    </row>
    <row r="32" spans="1:23" ht="13.75" customHeight="1">
      <c r="A32" s="309" t="s">
        <v>84</v>
      </c>
      <c r="B32" s="309" t="s">
        <v>85</v>
      </c>
      <c r="C32" s="309" t="s">
        <v>86</v>
      </c>
      <c r="D32" s="309" t="s">
        <v>87</v>
      </c>
      <c r="E32" s="309" t="s">
        <v>123</v>
      </c>
      <c r="F32" s="310" t="s">
        <v>576</v>
      </c>
      <c r="G32" s="310"/>
      <c r="H32" s="310"/>
      <c r="I32" s="310"/>
      <c r="J32" s="366" t="s">
        <v>91</v>
      </c>
      <c r="K32" s="367" t="s">
        <v>633</v>
      </c>
      <c r="L32" s="366" t="s">
        <v>143</v>
      </c>
      <c r="M32" s="422">
        <f>(5000*6)</f>
        <v>30000</v>
      </c>
      <c r="N32" s="312">
        <f t="shared" si="6"/>
        <v>435</v>
      </c>
      <c r="O32" s="312">
        <v>0</v>
      </c>
      <c r="P32" s="312">
        <v>0</v>
      </c>
      <c r="Q32" s="312">
        <v>0</v>
      </c>
      <c r="R32" s="312">
        <v>0</v>
      </c>
      <c r="S32" s="312">
        <v>0</v>
      </c>
      <c r="T32" s="312">
        <v>0</v>
      </c>
      <c r="U32" s="423"/>
    </row>
    <row r="33" spans="1:23" ht="13.75" customHeight="1" thickBot="1">
      <c r="A33" s="309" t="s">
        <v>84</v>
      </c>
      <c r="B33" s="309" t="s">
        <v>85</v>
      </c>
      <c r="C33" s="309" t="s">
        <v>86</v>
      </c>
      <c r="D33" s="309" t="s">
        <v>87</v>
      </c>
      <c r="E33" s="309" t="s">
        <v>123</v>
      </c>
      <c r="F33" s="310" t="s">
        <v>93</v>
      </c>
      <c r="G33" s="310"/>
      <c r="H33" s="310"/>
      <c r="I33" s="310"/>
      <c r="J33" s="366" t="s">
        <v>94</v>
      </c>
      <c r="K33" s="367" t="s">
        <v>633</v>
      </c>
      <c r="L33" s="380" t="s">
        <v>95</v>
      </c>
      <c r="M33" s="386">
        <f>6*10*U33</f>
        <v>17700</v>
      </c>
      <c r="N33" s="314">
        <v>0</v>
      </c>
      <c r="O33" s="314">
        <v>0</v>
      </c>
      <c r="P33" s="314">
        <v>0</v>
      </c>
      <c r="Q33" s="314">
        <v>0</v>
      </c>
      <c r="R33" s="314">
        <v>0</v>
      </c>
      <c r="S33" s="314">
        <v>0</v>
      </c>
      <c r="T33" s="314">
        <v>0</v>
      </c>
      <c r="U33" s="430">
        <f>U11</f>
        <v>295</v>
      </c>
      <c r="V33" s="295" t="s">
        <v>96</v>
      </c>
      <c r="W33" s="316"/>
    </row>
    <row r="34" spans="1:23" s="352" customFormat="1" ht="13.75" customHeight="1">
      <c r="A34" s="417" t="s">
        <v>84</v>
      </c>
      <c r="B34" s="417" t="s">
        <v>85</v>
      </c>
      <c r="C34" s="417" t="s">
        <v>86</v>
      </c>
      <c r="D34" s="417" t="s">
        <v>87</v>
      </c>
      <c r="E34" s="417" t="s">
        <v>100</v>
      </c>
      <c r="F34" s="330" t="s">
        <v>89</v>
      </c>
      <c r="G34" s="330" t="s">
        <v>563</v>
      </c>
      <c r="H34" s="330" t="s">
        <v>571</v>
      </c>
      <c r="I34" s="330">
        <v>12</v>
      </c>
      <c r="J34" s="418" t="s">
        <v>392</v>
      </c>
      <c r="K34" s="425">
        <v>173</v>
      </c>
      <c r="L34" s="418" t="s">
        <v>231</v>
      </c>
      <c r="M34" s="426">
        <v>67535</v>
      </c>
      <c r="N34" s="420">
        <f t="shared" ref="N34:P37" si="9">ROUND($M34*N$4,2)</f>
        <v>979.26</v>
      </c>
      <c r="O34" s="420">
        <f t="shared" si="9"/>
        <v>14452.49</v>
      </c>
      <c r="P34" s="420">
        <f t="shared" si="9"/>
        <v>0</v>
      </c>
      <c r="Q34" s="420">
        <f>IF(M34&gt;=18000,ROUND(18000*Q$4,2),ROUND($M34*Q$4,2))</f>
        <v>212.4</v>
      </c>
      <c r="R34" s="420">
        <f>(45)*12</f>
        <v>540</v>
      </c>
      <c r="S34" s="420">
        <f>12*25.46</f>
        <v>305.52</v>
      </c>
      <c r="T34" s="421">
        <f>$T$4</f>
        <v>43.2</v>
      </c>
      <c r="U34" s="364" t="s">
        <v>398</v>
      </c>
    </row>
    <row r="35" spans="1:23" s="294" customFormat="1" ht="13.75" customHeight="1">
      <c r="A35" s="299" t="s">
        <v>84</v>
      </c>
      <c r="B35" s="299" t="s">
        <v>85</v>
      </c>
      <c r="C35" s="299" t="s">
        <v>86</v>
      </c>
      <c r="D35" s="299" t="s">
        <v>87</v>
      </c>
      <c r="E35" s="299" t="s">
        <v>102</v>
      </c>
      <c r="F35" s="318" t="s">
        <v>89</v>
      </c>
      <c r="G35" s="318" t="s">
        <v>566</v>
      </c>
      <c r="H35" s="318" t="s">
        <v>570</v>
      </c>
      <c r="I35" s="318">
        <v>18</v>
      </c>
      <c r="J35" s="387" t="s">
        <v>392</v>
      </c>
      <c r="K35" s="388">
        <v>173</v>
      </c>
      <c r="L35" s="387" t="s">
        <v>232</v>
      </c>
      <c r="M35" s="389">
        <v>63821</v>
      </c>
      <c r="N35" s="319">
        <f t="shared" si="9"/>
        <v>925.4</v>
      </c>
      <c r="O35" s="319">
        <f t="shared" si="9"/>
        <v>13657.69</v>
      </c>
      <c r="P35" s="319">
        <f t="shared" si="9"/>
        <v>0</v>
      </c>
      <c r="Q35" s="319">
        <f>IF(M35&gt;=18000,ROUND(18000*Q$4,2),ROUND($M35*Q$4,2))</f>
        <v>212.4</v>
      </c>
      <c r="R35" s="319">
        <f>R4-45</f>
        <v>8511.84</v>
      </c>
      <c r="S35" s="319">
        <f>12*25</f>
        <v>300</v>
      </c>
      <c r="T35" s="320">
        <f>$T$4</f>
        <v>43.2</v>
      </c>
      <c r="U35" s="298" t="s">
        <v>398</v>
      </c>
    </row>
    <row r="36" spans="1:23" s="352" customFormat="1" ht="13.75" customHeight="1">
      <c r="A36" s="417" t="s">
        <v>84</v>
      </c>
      <c r="B36" s="417" t="s">
        <v>85</v>
      </c>
      <c r="C36" s="417" t="s">
        <v>86</v>
      </c>
      <c r="D36" s="417" t="s">
        <v>87</v>
      </c>
      <c r="E36" s="417" t="s">
        <v>102</v>
      </c>
      <c r="F36" s="330" t="s">
        <v>89</v>
      </c>
      <c r="G36" s="330" t="s">
        <v>566</v>
      </c>
      <c r="H36" s="330" t="s">
        <v>570</v>
      </c>
      <c r="I36" s="330">
        <v>15</v>
      </c>
      <c r="J36" s="418" t="s">
        <v>392</v>
      </c>
      <c r="K36" s="425">
        <v>173</v>
      </c>
      <c r="L36" s="418" t="s">
        <v>242</v>
      </c>
      <c r="M36" s="426">
        <v>63821</v>
      </c>
      <c r="N36" s="420">
        <f t="shared" si="9"/>
        <v>925.4</v>
      </c>
      <c r="O36" s="420">
        <f t="shared" si="9"/>
        <v>13657.69</v>
      </c>
      <c r="P36" s="420">
        <f t="shared" si="9"/>
        <v>0</v>
      </c>
      <c r="Q36" s="420">
        <f>IF(M36&gt;=18000,ROUND(18000*Q$4,2),ROUND($M36*Q$4,2))</f>
        <v>212.4</v>
      </c>
      <c r="R36" s="420">
        <f>R4</f>
        <v>8556.84</v>
      </c>
      <c r="S36" s="420">
        <f>12*24.97</f>
        <v>299.64</v>
      </c>
      <c r="T36" s="421">
        <f>$T$4</f>
        <v>43.2</v>
      </c>
      <c r="U36" s="364" t="s">
        <v>398</v>
      </c>
    </row>
    <row r="37" spans="1:23" s="352" customFormat="1" ht="13.75" customHeight="1">
      <c r="A37" s="417" t="s">
        <v>84</v>
      </c>
      <c r="B37" s="417" t="s">
        <v>85</v>
      </c>
      <c r="C37" s="417" t="s">
        <v>86</v>
      </c>
      <c r="D37" s="417" t="s">
        <v>87</v>
      </c>
      <c r="E37" s="417" t="s">
        <v>102</v>
      </c>
      <c r="F37" s="330" t="s">
        <v>89</v>
      </c>
      <c r="G37" s="330" t="s">
        <v>566</v>
      </c>
      <c r="H37" s="330" t="s">
        <v>575</v>
      </c>
      <c r="I37" s="330">
        <v>12</v>
      </c>
      <c r="J37" s="418" t="s">
        <v>392</v>
      </c>
      <c r="K37" s="425">
        <v>173</v>
      </c>
      <c r="L37" s="418" t="s">
        <v>233</v>
      </c>
      <c r="M37" s="419">
        <v>61644</v>
      </c>
      <c r="N37" s="420">
        <f t="shared" si="9"/>
        <v>893.84</v>
      </c>
      <c r="O37" s="420">
        <f t="shared" si="9"/>
        <v>13191.82</v>
      </c>
      <c r="P37" s="420">
        <f t="shared" si="9"/>
        <v>0</v>
      </c>
      <c r="Q37" s="420">
        <f>IF(M37&gt;=18000,ROUND(18000*Q$4,2),ROUND($M37*Q$4,2))</f>
        <v>212.4</v>
      </c>
      <c r="R37" s="420">
        <f>R4</f>
        <v>8556.84</v>
      </c>
      <c r="S37" s="420">
        <f>12*24.44</f>
        <v>293.28000000000003</v>
      </c>
      <c r="T37" s="421">
        <f>$T$4</f>
        <v>43.2</v>
      </c>
      <c r="U37" s="364" t="s">
        <v>398</v>
      </c>
    </row>
    <row r="38" spans="1:23" ht="13.75" customHeight="1">
      <c r="A38" s="309" t="s">
        <v>84</v>
      </c>
      <c r="B38" s="309" t="s">
        <v>85</v>
      </c>
      <c r="C38" s="309" t="s">
        <v>86</v>
      </c>
      <c r="D38" s="309" t="s">
        <v>87</v>
      </c>
      <c r="E38" s="309" t="s">
        <v>102</v>
      </c>
      <c r="F38" s="310" t="s">
        <v>576</v>
      </c>
      <c r="G38" s="310"/>
      <c r="H38" s="310"/>
      <c r="I38" s="310"/>
      <c r="J38" s="366" t="s">
        <v>91</v>
      </c>
      <c r="K38" s="367" t="s">
        <v>633</v>
      </c>
      <c r="L38" s="366" t="s">
        <v>105</v>
      </c>
      <c r="M38" s="422">
        <f>(5000*4)</f>
        <v>20000</v>
      </c>
      <c r="N38" s="312">
        <f>ROUND($M38*N$4,2)</f>
        <v>290</v>
      </c>
      <c r="O38" s="312">
        <v>0</v>
      </c>
      <c r="P38" s="312">
        <v>0</v>
      </c>
      <c r="Q38" s="312">
        <v>0</v>
      </c>
      <c r="R38" s="312">
        <v>0</v>
      </c>
      <c r="S38" s="312">
        <v>0</v>
      </c>
      <c r="T38" s="312">
        <v>0</v>
      </c>
      <c r="U38" s="423"/>
    </row>
    <row r="39" spans="1:23" ht="13.75" customHeight="1" thickBot="1">
      <c r="A39" s="309" t="s">
        <v>84</v>
      </c>
      <c r="B39" s="309" t="s">
        <v>85</v>
      </c>
      <c r="C39" s="309" t="s">
        <v>86</v>
      </c>
      <c r="D39" s="309" t="s">
        <v>87</v>
      </c>
      <c r="E39" s="309" t="s">
        <v>123</v>
      </c>
      <c r="F39" s="310" t="s">
        <v>93</v>
      </c>
      <c r="G39" s="310"/>
      <c r="H39" s="310"/>
      <c r="I39" s="310"/>
      <c r="J39" s="366" t="s">
        <v>94</v>
      </c>
      <c r="K39" s="367" t="s">
        <v>633</v>
      </c>
      <c r="L39" s="380" t="s">
        <v>95</v>
      </c>
      <c r="M39" s="386">
        <f>4*10*U39</f>
        <v>11800</v>
      </c>
      <c r="N39" s="314">
        <v>0</v>
      </c>
      <c r="O39" s="314">
        <v>0</v>
      </c>
      <c r="P39" s="314">
        <v>0</v>
      </c>
      <c r="Q39" s="314">
        <v>0</v>
      </c>
      <c r="R39" s="314">
        <v>0</v>
      </c>
      <c r="S39" s="314">
        <v>0</v>
      </c>
      <c r="T39" s="314">
        <v>0</v>
      </c>
      <c r="U39" s="321">
        <f>U11</f>
        <v>295</v>
      </c>
      <c r="V39" s="360"/>
    </row>
    <row r="40" spans="1:23" s="326" customFormat="1" ht="13.75" customHeight="1">
      <c r="A40" s="323" t="s">
        <v>84</v>
      </c>
      <c r="B40" s="323" t="s">
        <v>85</v>
      </c>
      <c r="C40" s="323" t="s">
        <v>86</v>
      </c>
      <c r="D40" s="323" t="s">
        <v>87</v>
      </c>
      <c r="E40" s="323" t="s">
        <v>123</v>
      </c>
      <c r="F40" s="324" t="s">
        <v>103</v>
      </c>
      <c r="G40" s="324"/>
      <c r="H40" s="325"/>
      <c r="I40" s="325"/>
      <c r="J40" s="390" t="s">
        <v>393</v>
      </c>
      <c r="K40" s="391"/>
      <c r="L40" s="390" t="s">
        <v>634</v>
      </c>
      <c r="M40" s="392">
        <v>0</v>
      </c>
      <c r="N40" s="327">
        <f t="shared" ref="N40:P45" si="10">ROUND($M40*N$4,2)</f>
        <v>0</v>
      </c>
      <c r="O40" s="327">
        <f t="shared" si="10"/>
        <v>0</v>
      </c>
      <c r="P40" s="327">
        <f t="shared" si="10"/>
        <v>0</v>
      </c>
      <c r="Q40" s="327">
        <f t="shared" ref="Q40:Q45" si="11">IF(M40&gt;=18000,ROUND(18000*Q$4,2),ROUND($M40*Q$4,2))</f>
        <v>0</v>
      </c>
      <c r="R40" s="327">
        <v>0</v>
      </c>
      <c r="S40" s="327">
        <v>0</v>
      </c>
      <c r="T40" s="284">
        <v>0</v>
      </c>
      <c r="U40" s="585" t="s">
        <v>458</v>
      </c>
      <c r="V40" s="360" t="s">
        <v>560</v>
      </c>
    </row>
    <row r="41" spans="1:23" s="352" customFormat="1" ht="13.75" customHeight="1">
      <c r="A41" s="417" t="s">
        <v>84</v>
      </c>
      <c r="B41" s="417" t="s">
        <v>85</v>
      </c>
      <c r="C41" s="417" t="s">
        <v>86</v>
      </c>
      <c r="D41" s="417" t="s">
        <v>87</v>
      </c>
      <c r="E41" s="431" t="s">
        <v>97</v>
      </c>
      <c r="F41" s="325" t="s">
        <v>103</v>
      </c>
      <c r="G41" s="330"/>
      <c r="H41" s="330"/>
      <c r="I41" s="330"/>
      <c r="J41" s="418" t="s">
        <v>393</v>
      </c>
      <c r="K41" s="425">
        <v>166</v>
      </c>
      <c r="L41" s="418" t="s">
        <v>234</v>
      </c>
      <c r="M41" s="422">
        <f>33072.94</f>
        <v>33072.94</v>
      </c>
      <c r="N41" s="420">
        <f t="shared" si="10"/>
        <v>479.56</v>
      </c>
      <c r="O41" s="420">
        <f t="shared" si="10"/>
        <v>7077.61</v>
      </c>
      <c r="P41" s="420">
        <f t="shared" si="10"/>
        <v>0</v>
      </c>
      <c r="Q41" s="420">
        <f t="shared" si="11"/>
        <v>212.4</v>
      </c>
      <c r="R41" s="420">
        <v>0</v>
      </c>
      <c r="S41" s="420">
        <f>12*16.22</f>
        <v>194.64</v>
      </c>
      <c r="T41" s="421">
        <f>$T$4</f>
        <v>43.2</v>
      </c>
      <c r="U41" s="585"/>
      <c r="V41" s="360" t="s">
        <v>560</v>
      </c>
    </row>
    <row r="42" spans="1:23" s="352" customFormat="1" ht="12.5" customHeight="1">
      <c r="A42" s="417" t="s">
        <v>84</v>
      </c>
      <c r="B42" s="417" t="s">
        <v>85</v>
      </c>
      <c r="C42" s="417" t="s">
        <v>86</v>
      </c>
      <c r="D42" s="417" t="s">
        <v>87</v>
      </c>
      <c r="E42" s="417" t="s">
        <v>124</v>
      </c>
      <c r="F42" s="330" t="s">
        <v>577</v>
      </c>
      <c r="G42" s="330" t="s">
        <v>563</v>
      </c>
      <c r="H42" s="330" t="s">
        <v>578</v>
      </c>
      <c r="I42" s="330">
        <v>13.5</v>
      </c>
      <c r="J42" s="418" t="s">
        <v>101</v>
      </c>
      <c r="K42" s="425">
        <v>173</v>
      </c>
      <c r="L42" s="418" t="s">
        <v>235</v>
      </c>
      <c r="M42" s="426">
        <v>68717</v>
      </c>
      <c r="N42" s="420">
        <f t="shared" si="10"/>
        <v>996.4</v>
      </c>
      <c r="O42" s="420">
        <f t="shared" si="10"/>
        <v>14705.44</v>
      </c>
      <c r="P42" s="420">
        <f t="shared" si="10"/>
        <v>0</v>
      </c>
      <c r="Q42" s="420">
        <f t="shared" si="11"/>
        <v>212.4</v>
      </c>
      <c r="R42" s="420">
        <v>0</v>
      </c>
      <c r="S42" s="420">
        <f>12*25.79</f>
        <v>309.48</v>
      </c>
      <c r="T42" s="421">
        <f>$T$4</f>
        <v>43.2</v>
      </c>
      <c r="U42" s="585"/>
    </row>
    <row r="43" spans="1:23" s="306" customFormat="1" ht="13.75" customHeight="1">
      <c r="A43" s="304" t="s">
        <v>84</v>
      </c>
      <c r="B43" s="304" t="s">
        <v>85</v>
      </c>
      <c r="C43" s="304" t="s">
        <v>86</v>
      </c>
      <c r="D43" s="304" t="s">
        <v>87</v>
      </c>
      <c r="E43" s="304" t="s">
        <v>124</v>
      </c>
      <c r="F43" s="305" t="s">
        <v>104</v>
      </c>
      <c r="G43" s="305" t="s">
        <v>563</v>
      </c>
      <c r="H43" s="305" t="s">
        <v>579</v>
      </c>
      <c r="I43" s="305">
        <v>20</v>
      </c>
      <c r="J43" s="374" t="s">
        <v>101</v>
      </c>
      <c r="K43" s="382">
        <v>173</v>
      </c>
      <c r="L43" s="374" t="s">
        <v>236</v>
      </c>
      <c r="M43" s="375">
        <v>77590</v>
      </c>
      <c r="N43" s="307">
        <f t="shared" si="10"/>
        <v>1125.06</v>
      </c>
      <c r="O43" s="307">
        <f t="shared" si="10"/>
        <v>16604.259999999998</v>
      </c>
      <c r="P43" s="307">
        <f t="shared" si="10"/>
        <v>0</v>
      </c>
      <c r="Q43" s="307">
        <f t="shared" si="11"/>
        <v>212.4</v>
      </c>
      <c r="R43" s="307">
        <f>R4</f>
        <v>8556.84</v>
      </c>
      <c r="S43" s="307">
        <f>12*27.31</f>
        <v>327.71999999999997</v>
      </c>
      <c r="T43" s="274">
        <f>$T$4</f>
        <v>43.2</v>
      </c>
      <c r="U43" s="585"/>
    </row>
    <row r="44" spans="1:23" s="352" customFormat="1" ht="13.75" customHeight="1">
      <c r="A44" s="417" t="s">
        <v>84</v>
      </c>
      <c r="B44" s="417" t="s">
        <v>85</v>
      </c>
      <c r="C44" s="417" t="s">
        <v>86</v>
      </c>
      <c r="D44" s="417" t="s">
        <v>87</v>
      </c>
      <c r="E44" s="417" t="s">
        <v>124</v>
      </c>
      <c r="F44" s="325" t="s">
        <v>103</v>
      </c>
      <c r="G44" s="330"/>
      <c r="H44" s="330"/>
      <c r="I44" s="330"/>
      <c r="J44" s="418" t="s">
        <v>459</v>
      </c>
      <c r="K44" s="425">
        <v>166</v>
      </c>
      <c r="L44" s="418" t="s">
        <v>488</v>
      </c>
      <c r="M44" s="422">
        <v>32551.09</v>
      </c>
      <c r="N44" s="420">
        <f t="shared" si="10"/>
        <v>471.99</v>
      </c>
      <c r="O44" s="420">
        <f t="shared" si="10"/>
        <v>6965.93</v>
      </c>
      <c r="P44" s="420">
        <f t="shared" si="10"/>
        <v>0</v>
      </c>
      <c r="Q44" s="420">
        <f t="shared" si="11"/>
        <v>212.4</v>
      </c>
      <c r="R44" s="420">
        <f>R4</f>
        <v>8556.84</v>
      </c>
      <c r="S44" s="420">
        <f>12*17.4</f>
        <v>208.79999999999998</v>
      </c>
      <c r="T44" s="421">
        <f>$T$4</f>
        <v>43.2</v>
      </c>
      <c r="U44" s="585"/>
      <c r="V44" s="360" t="s">
        <v>560</v>
      </c>
      <c r="W44" s="364" t="s">
        <v>677</v>
      </c>
    </row>
    <row r="45" spans="1:23" s="352" customFormat="1" ht="13.75" customHeight="1">
      <c r="A45" s="417" t="s">
        <v>84</v>
      </c>
      <c r="B45" s="417" t="s">
        <v>85</v>
      </c>
      <c r="C45" s="417" t="s">
        <v>86</v>
      </c>
      <c r="D45" s="417" t="s">
        <v>87</v>
      </c>
      <c r="E45" s="417" t="s">
        <v>124</v>
      </c>
      <c r="F45" s="330" t="s">
        <v>104</v>
      </c>
      <c r="G45" s="330" t="s">
        <v>563</v>
      </c>
      <c r="H45" s="330" t="s">
        <v>580</v>
      </c>
      <c r="I45" s="330">
        <v>20</v>
      </c>
      <c r="J45" s="418" t="s">
        <v>101</v>
      </c>
      <c r="K45" s="425">
        <v>173</v>
      </c>
      <c r="L45" s="418" t="s">
        <v>237</v>
      </c>
      <c r="M45" s="419">
        <v>77590</v>
      </c>
      <c r="N45" s="420">
        <f t="shared" si="10"/>
        <v>1125.06</v>
      </c>
      <c r="O45" s="420">
        <f t="shared" si="10"/>
        <v>16604.259999999998</v>
      </c>
      <c r="P45" s="420">
        <f t="shared" si="10"/>
        <v>0</v>
      </c>
      <c r="Q45" s="420">
        <f t="shared" si="11"/>
        <v>212.4</v>
      </c>
      <c r="R45" s="420">
        <f>R4</f>
        <v>8556.84</v>
      </c>
      <c r="S45" s="420">
        <f>12*27.31</f>
        <v>327.71999999999997</v>
      </c>
      <c r="T45" s="421">
        <f>$T$4</f>
        <v>43.2</v>
      </c>
      <c r="U45" s="585"/>
    </row>
    <row r="46" spans="1:23" ht="13.75" customHeight="1" thickBot="1">
      <c r="A46" s="309" t="s">
        <v>84</v>
      </c>
      <c r="B46" s="309" t="s">
        <v>85</v>
      </c>
      <c r="C46" s="309" t="s">
        <v>86</v>
      </c>
      <c r="D46" s="309" t="s">
        <v>87</v>
      </c>
      <c r="E46" s="323" t="s">
        <v>124</v>
      </c>
      <c r="F46" s="310" t="s">
        <v>576</v>
      </c>
      <c r="G46" s="310"/>
      <c r="H46" s="310"/>
      <c r="I46" s="310"/>
      <c r="J46" s="366" t="s">
        <v>91</v>
      </c>
      <c r="K46" s="367" t="s">
        <v>633</v>
      </c>
      <c r="L46" s="380" t="s">
        <v>473</v>
      </c>
      <c r="M46" s="432">
        <f>(4*5000)</f>
        <v>20000</v>
      </c>
      <c r="N46" s="314">
        <f>ROUND($M46*N$4,2)</f>
        <v>290</v>
      </c>
      <c r="O46" s="314">
        <v>0</v>
      </c>
      <c r="P46" s="314">
        <v>0</v>
      </c>
      <c r="Q46" s="314">
        <v>0</v>
      </c>
      <c r="R46" s="314">
        <v>0</v>
      </c>
      <c r="S46" s="314"/>
      <c r="T46" s="314">
        <v>0</v>
      </c>
      <c r="U46" s="423"/>
    </row>
    <row r="47" spans="1:23" s="352" customFormat="1" ht="13.75" customHeight="1">
      <c r="A47" s="417" t="s">
        <v>84</v>
      </c>
      <c r="B47" s="417" t="s">
        <v>85</v>
      </c>
      <c r="C47" s="417" t="s">
        <v>86</v>
      </c>
      <c r="D47" s="417" t="s">
        <v>460</v>
      </c>
      <c r="E47" s="417" t="s">
        <v>497</v>
      </c>
      <c r="F47" s="330" t="s">
        <v>498</v>
      </c>
      <c r="G47" s="330"/>
      <c r="H47" s="330"/>
      <c r="I47" s="330"/>
      <c r="J47" s="418" t="s">
        <v>487</v>
      </c>
      <c r="K47" s="425">
        <v>173</v>
      </c>
      <c r="L47" s="418" t="s">
        <v>486</v>
      </c>
      <c r="M47" s="419">
        <v>70517</v>
      </c>
      <c r="N47" s="433">
        <f t="shared" ref="N47:P56" si="12">ROUND($M47*N$4,2)</f>
        <v>1022.5</v>
      </c>
      <c r="O47" s="433">
        <f t="shared" si="12"/>
        <v>15090.64</v>
      </c>
      <c r="P47" s="433">
        <f t="shared" si="12"/>
        <v>0</v>
      </c>
      <c r="Q47" s="433">
        <f t="shared" ref="Q47:Q56" si="13">IF(M47&gt;=18000,ROUND(18000*Q$4,2),ROUND($M47*Q$4,2))</f>
        <v>212.4</v>
      </c>
      <c r="R47" s="433">
        <f>R4</f>
        <v>8556.84</v>
      </c>
      <c r="S47" s="433">
        <f>12*26.7</f>
        <v>320.39999999999998</v>
      </c>
      <c r="T47" s="434">
        <f t="shared" ref="T47:T53" si="14">$T$4</f>
        <v>43.2</v>
      </c>
      <c r="U47" s="435">
        <f>SUM(M47:T47)</f>
        <v>95762.979999999981</v>
      </c>
    </row>
    <row r="48" spans="1:23" s="352" customFormat="1" ht="13.75" customHeight="1">
      <c r="A48" s="417" t="s">
        <v>84</v>
      </c>
      <c r="B48" s="417" t="s">
        <v>85</v>
      </c>
      <c r="C48" s="417" t="s">
        <v>86</v>
      </c>
      <c r="D48" s="417" t="s">
        <v>460</v>
      </c>
      <c r="E48" s="417" t="s">
        <v>461</v>
      </c>
      <c r="F48" s="330" t="s">
        <v>525</v>
      </c>
      <c r="G48" s="330" t="s">
        <v>566</v>
      </c>
      <c r="H48" s="330" t="s">
        <v>573</v>
      </c>
      <c r="I48" s="330">
        <v>2</v>
      </c>
      <c r="J48" s="418" t="s">
        <v>459</v>
      </c>
      <c r="K48" s="425">
        <v>173</v>
      </c>
      <c r="L48" s="418" t="s">
        <v>482</v>
      </c>
      <c r="M48" s="426">
        <v>52176</v>
      </c>
      <c r="N48" s="420">
        <f t="shared" si="12"/>
        <v>756.55</v>
      </c>
      <c r="O48" s="420">
        <f t="shared" si="12"/>
        <v>11165.66</v>
      </c>
      <c r="P48" s="420">
        <f t="shared" si="12"/>
        <v>0</v>
      </c>
      <c r="Q48" s="420">
        <f t="shared" si="13"/>
        <v>212.4</v>
      </c>
      <c r="R48" s="420">
        <f>R4</f>
        <v>8556.84</v>
      </c>
      <c r="S48" s="420">
        <f>12*23.23</f>
        <v>278.76</v>
      </c>
      <c r="T48" s="421">
        <f t="shared" si="14"/>
        <v>43.2</v>
      </c>
      <c r="U48" s="423"/>
    </row>
    <row r="49" spans="1:22" s="306" customFormat="1" ht="13.75" customHeight="1">
      <c r="A49" s="304" t="s">
        <v>84</v>
      </c>
      <c r="B49" s="304" t="s">
        <v>85</v>
      </c>
      <c r="C49" s="304" t="s">
        <v>86</v>
      </c>
      <c r="D49" s="304" t="s">
        <v>460</v>
      </c>
      <c r="E49" s="304" t="s">
        <v>461</v>
      </c>
      <c r="F49" s="305" t="s">
        <v>525</v>
      </c>
      <c r="G49" s="305" t="s">
        <v>563</v>
      </c>
      <c r="H49" s="305" t="s">
        <v>569</v>
      </c>
      <c r="I49" s="305">
        <v>29</v>
      </c>
      <c r="J49" s="374" t="s">
        <v>459</v>
      </c>
      <c r="K49" s="382">
        <v>173</v>
      </c>
      <c r="L49" s="374" t="s">
        <v>481</v>
      </c>
      <c r="M49" s="383">
        <v>90702</v>
      </c>
      <c r="N49" s="307">
        <f t="shared" si="12"/>
        <v>1315.18</v>
      </c>
      <c r="O49" s="307">
        <f t="shared" si="12"/>
        <v>19410.23</v>
      </c>
      <c r="P49" s="307">
        <f t="shared" si="12"/>
        <v>0</v>
      </c>
      <c r="Q49" s="307">
        <f t="shared" si="13"/>
        <v>212.4</v>
      </c>
      <c r="R49" s="307">
        <f>R4-45</f>
        <v>8511.84</v>
      </c>
      <c r="S49" s="329">
        <f>12*23.23</f>
        <v>278.76</v>
      </c>
      <c r="T49" s="274">
        <f>39.6</f>
        <v>39.6</v>
      </c>
      <c r="U49" s="283"/>
    </row>
    <row r="50" spans="1:22" s="352" customFormat="1" ht="13.75" customHeight="1">
      <c r="A50" s="417">
        <v>11</v>
      </c>
      <c r="B50" s="417" t="s">
        <v>85</v>
      </c>
      <c r="C50" s="417" t="s">
        <v>86</v>
      </c>
      <c r="D50" s="417" t="s">
        <v>87</v>
      </c>
      <c r="E50" s="417" t="s">
        <v>219</v>
      </c>
      <c r="F50" s="330" t="s">
        <v>587</v>
      </c>
      <c r="G50" s="330"/>
      <c r="H50" s="330"/>
      <c r="I50" s="330"/>
      <c r="J50" s="418" t="s">
        <v>546</v>
      </c>
      <c r="K50" s="429">
        <v>185</v>
      </c>
      <c r="L50" s="418" t="s">
        <v>619</v>
      </c>
      <c r="M50" s="422">
        <v>78614</v>
      </c>
      <c r="N50" s="420">
        <f t="shared" si="12"/>
        <v>1139.9000000000001</v>
      </c>
      <c r="O50" s="420">
        <f t="shared" si="12"/>
        <v>16823.400000000001</v>
      </c>
      <c r="P50" s="420">
        <f t="shared" si="12"/>
        <v>0</v>
      </c>
      <c r="Q50" s="420">
        <f t="shared" si="13"/>
        <v>212.4</v>
      </c>
      <c r="R50" s="420">
        <f>R4</f>
        <v>8556.84</v>
      </c>
      <c r="S50" s="420">
        <f>340</f>
        <v>340</v>
      </c>
      <c r="T50" s="421">
        <f>T4</f>
        <v>43.2</v>
      </c>
      <c r="U50" s="435" t="s">
        <v>640</v>
      </c>
    </row>
    <row r="51" spans="1:22" s="306" customFormat="1" ht="13.75" customHeight="1">
      <c r="A51" s="304" t="s">
        <v>84</v>
      </c>
      <c r="B51" s="304" t="s">
        <v>85</v>
      </c>
      <c r="C51" s="304" t="s">
        <v>86</v>
      </c>
      <c r="D51" s="304" t="s">
        <v>87</v>
      </c>
      <c r="E51" s="304" t="s">
        <v>219</v>
      </c>
      <c r="F51" s="305" t="s">
        <v>630</v>
      </c>
      <c r="G51" s="305"/>
      <c r="H51" s="305"/>
      <c r="I51" s="305"/>
      <c r="J51" s="374" t="s">
        <v>546</v>
      </c>
      <c r="K51" s="385">
        <v>165</v>
      </c>
      <c r="L51" s="374" t="s">
        <v>625</v>
      </c>
      <c r="M51" s="379">
        <f>22224</f>
        <v>22224</v>
      </c>
      <c r="N51" s="307">
        <f t="shared" si="12"/>
        <v>322.25</v>
      </c>
      <c r="O51" s="307">
        <f t="shared" si="12"/>
        <v>4755.9399999999996</v>
      </c>
      <c r="P51" s="307">
        <f t="shared" si="12"/>
        <v>0</v>
      </c>
      <c r="Q51" s="307">
        <f t="shared" ref="Q51" si="15">IF(M51&gt;=18000,ROUND(18000*Q$4,2),ROUND($M51*Q$4,2))</f>
        <v>212.4</v>
      </c>
      <c r="R51" s="307">
        <v>0</v>
      </c>
      <c r="S51" s="307">
        <v>0</v>
      </c>
      <c r="T51" s="274">
        <f>39.6</f>
        <v>39.6</v>
      </c>
      <c r="U51" s="328"/>
      <c r="V51" s="306" t="s">
        <v>638</v>
      </c>
    </row>
    <row r="52" spans="1:22" s="352" customFormat="1" ht="13.75" customHeight="1">
      <c r="A52" s="417" t="s">
        <v>84</v>
      </c>
      <c r="B52" s="417" t="s">
        <v>85</v>
      </c>
      <c r="C52" s="417" t="s">
        <v>86</v>
      </c>
      <c r="D52" s="417" t="s">
        <v>460</v>
      </c>
      <c r="E52" s="417" t="s">
        <v>461</v>
      </c>
      <c r="F52" s="330" t="s">
        <v>103</v>
      </c>
      <c r="G52" s="330"/>
      <c r="H52" s="330"/>
      <c r="I52" s="330"/>
      <c r="J52" s="418" t="s">
        <v>459</v>
      </c>
      <c r="K52" s="425">
        <v>166</v>
      </c>
      <c r="L52" s="418" t="s">
        <v>484</v>
      </c>
      <c r="M52" s="422">
        <v>32551.09</v>
      </c>
      <c r="N52" s="420">
        <f t="shared" si="12"/>
        <v>471.99</v>
      </c>
      <c r="O52" s="420">
        <f t="shared" si="12"/>
        <v>6965.93</v>
      </c>
      <c r="P52" s="420">
        <f t="shared" si="12"/>
        <v>0</v>
      </c>
      <c r="Q52" s="420">
        <f t="shared" si="13"/>
        <v>212.4</v>
      </c>
      <c r="R52" s="420">
        <v>0</v>
      </c>
      <c r="S52" s="420">
        <f>12*15.97</f>
        <v>191.64000000000001</v>
      </c>
      <c r="T52" s="421">
        <f t="shared" si="14"/>
        <v>43.2</v>
      </c>
      <c r="U52" s="423"/>
      <c r="V52" s="360" t="s">
        <v>560</v>
      </c>
    </row>
    <row r="53" spans="1:22" s="352" customFormat="1" ht="13.75" customHeight="1">
      <c r="A53" s="417" t="s">
        <v>84</v>
      </c>
      <c r="B53" s="417" t="s">
        <v>85</v>
      </c>
      <c r="C53" s="417" t="s">
        <v>86</v>
      </c>
      <c r="D53" s="417" t="s">
        <v>460</v>
      </c>
      <c r="E53" s="417" t="s">
        <v>461</v>
      </c>
      <c r="F53" s="330" t="s">
        <v>103</v>
      </c>
      <c r="G53" s="330"/>
      <c r="H53" s="330"/>
      <c r="I53" s="330"/>
      <c r="J53" s="418" t="s">
        <v>459</v>
      </c>
      <c r="K53" s="425">
        <v>166</v>
      </c>
      <c r="L53" s="418" t="s">
        <v>485</v>
      </c>
      <c r="M53" s="422">
        <v>32551.09</v>
      </c>
      <c r="N53" s="420">
        <f t="shared" si="12"/>
        <v>471.99</v>
      </c>
      <c r="O53" s="420">
        <f t="shared" si="12"/>
        <v>6965.93</v>
      </c>
      <c r="P53" s="420">
        <f t="shared" si="12"/>
        <v>0</v>
      </c>
      <c r="Q53" s="420">
        <f t="shared" si="13"/>
        <v>212.4</v>
      </c>
      <c r="R53" s="420">
        <v>0</v>
      </c>
      <c r="S53" s="420">
        <f>12*15.97</f>
        <v>191.64000000000001</v>
      </c>
      <c r="T53" s="421">
        <f t="shared" si="14"/>
        <v>43.2</v>
      </c>
      <c r="U53" s="423"/>
      <c r="V53" s="360" t="s">
        <v>560</v>
      </c>
    </row>
    <row r="54" spans="1:22" ht="13.75" customHeight="1">
      <c r="A54" s="309" t="s">
        <v>84</v>
      </c>
      <c r="B54" s="309" t="s">
        <v>85</v>
      </c>
      <c r="C54" s="309" t="s">
        <v>86</v>
      </c>
      <c r="D54" s="309" t="s">
        <v>460</v>
      </c>
      <c r="E54" s="309" t="s">
        <v>547</v>
      </c>
      <c r="F54" s="310" t="s">
        <v>544</v>
      </c>
      <c r="G54" s="310"/>
      <c r="H54" s="310"/>
      <c r="I54" s="330"/>
      <c r="J54" s="366" t="s">
        <v>616</v>
      </c>
      <c r="K54" s="367">
        <v>105</v>
      </c>
      <c r="L54" s="366" t="s">
        <v>545</v>
      </c>
      <c r="M54" s="393">
        <v>35770</v>
      </c>
      <c r="N54" s="312">
        <f t="shared" si="12"/>
        <v>518.66999999999996</v>
      </c>
      <c r="O54" s="312">
        <f t="shared" si="12"/>
        <v>7654.78</v>
      </c>
      <c r="P54" s="312">
        <f t="shared" si="12"/>
        <v>0</v>
      </c>
      <c r="Q54" s="312">
        <f t="shared" ref="Q54" si="16">IF(M54&gt;=18000,ROUND(18000*Q$4,2),ROUND($M54*Q$4,2))</f>
        <v>212.4</v>
      </c>
      <c r="R54" s="312">
        <v>0</v>
      </c>
      <c r="S54" s="312">
        <v>0</v>
      </c>
      <c r="T54" s="289">
        <v>0</v>
      </c>
      <c r="U54" s="290" t="s">
        <v>635</v>
      </c>
      <c r="V54" s="352" t="s">
        <v>641</v>
      </c>
    </row>
    <row r="55" spans="1:22" s="306" customFormat="1" ht="13.75" customHeight="1">
      <c r="A55" s="304" t="s">
        <v>84</v>
      </c>
      <c r="B55" s="304" t="s">
        <v>85</v>
      </c>
      <c r="C55" s="304" t="s">
        <v>86</v>
      </c>
      <c r="D55" s="304" t="s">
        <v>460</v>
      </c>
      <c r="E55" s="304" t="s">
        <v>461</v>
      </c>
      <c r="F55" s="305" t="s">
        <v>103</v>
      </c>
      <c r="G55" s="305"/>
      <c r="H55" s="305"/>
      <c r="I55" s="305"/>
      <c r="J55" s="394" t="s">
        <v>627</v>
      </c>
      <c r="K55" s="382">
        <v>166</v>
      </c>
      <c r="L55" s="374" t="s">
        <v>529</v>
      </c>
      <c r="M55" s="379">
        <v>32551.09</v>
      </c>
      <c r="N55" s="307">
        <f t="shared" si="12"/>
        <v>471.99</v>
      </c>
      <c r="O55" s="307">
        <f t="shared" si="12"/>
        <v>6965.93</v>
      </c>
      <c r="P55" s="307">
        <f t="shared" si="12"/>
        <v>0</v>
      </c>
      <c r="Q55" s="307">
        <f t="shared" si="13"/>
        <v>212.4</v>
      </c>
      <c r="R55" s="307">
        <v>0</v>
      </c>
      <c r="S55" s="307">
        <v>0</v>
      </c>
      <c r="T55" s="274">
        <v>39.6</v>
      </c>
      <c r="U55" s="283"/>
      <c r="V55" s="322" t="s">
        <v>560</v>
      </c>
    </row>
    <row r="56" spans="1:22" s="352" customFormat="1" ht="13.75" customHeight="1">
      <c r="A56" s="417" t="s">
        <v>84</v>
      </c>
      <c r="B56" s="417" t="s">
        <v>85</v>
      </c>
      <c r="C56" s="417" t="s">
        <v>86</v>
      </c>
      <c r="D56" s="417" t="s">
        <v>460</v>
      </c>
      <c r="E56" s="417" t="s">
        <v>461</v>
      </c>
      <c r="F56" s="330" t="s">
        <v>103</v>
      </c>
      <c r="G56" s="330"/>
      <c r="H56" s="330"/>
      <c r="I56" s="330"/>
      <c r="J56" s="436" t="s">
        <v>627</v>
      </c>
      <c r="K56" s="428">
        <v>166</v>
      </c>
      <c r="L56" s="418" t="s">
        <v>530</v>
      </c>
      <c r="M56" s="422">
        <v>32551.09</v>
      </c>
      <c r="N56" s="420">
        <f t="shared" si="12"/>
        <v>471.99</v>
      </c>
      <c r="O56" s="420">
        <f t="shared" si="12"/>
        <v>6965.93</v>
      </c>
      <c r="P56" s="420">
        <f t="shared" si="12"/>
        <v>0</v>
      </c>
      <c r="Q56" s="420">
        <f t="shared" si="13"/>
        <v>212.4</v>
      </c>
      <c r="R56" s="420">
        <v>0</v>
      </c>
      <c r="S56" s="420">
        <v>0</v>
      </c>
      <c r="T56" s="421">
        <v>39.6</v>
      </c>
      <c r="U56" s="423"/>
      <c r="V56" s="360" t="s">
        <v>560</v>
      </c>
    </row>
    <row r="57" spans="1:22" ht="13.75" customHeight="1">
      <c r="A57" s="309" t="s">
        <v>84</v>
      </c>
      <c r="B57" s="309" t="s">
        <v>85</v>
      </c>
      <c r="C57" s="309" t="s">
        <v>86</v>
      </c>
      <c r="D57" s="309" t="s">
        <v>460</v>
      </c>
      <c r="E57" s="309" t="s">
        <v>461</v>
      </c>
      <c r="F57" s="310" t="s">
        <v>576</v>
      </c>
      <c r="G57" s="310"/>
      <c r="H57" s="310"/>
      <c r="I57" s="310"/>
      <c r="J57" s="366" t="s">
        <v>91</v>
      </c>
      <c r="K57" s="367" t="s">
        <v>633</v>
      </c>
      <c r="L57" s="366" t="s">
        <v>462</v>
      </c>
      <c r="M57" s="422">
        <f>(11*5000)-2000</f>
        <v>53000</v>
      </c>
      <c r="N57" s="312">
        <f>ROUND($M57*N$4,2)</f>
        <v>768.5</v>
      </c>
      <c r="O57" s="312">
        <v>0</v>
      </c>
      <c r="P57" s="312">
        <v>0</v>
      </c>
      <c r="Q57" s="312">
        <v>0</v>
      </c>
      <c r="R57" s="312">
        <v>0</v>
      </c>
      <c r="S57" s="312"/>
      <c r="T57" s="312">
        <v>0</v>
      </c>
      <c r="U57" s="423"/>
    </row>
    <row r="58" spans="1:22" ht="13.75" customHeight="1" thickBot="1">
      <c r="A58" s="331" t="s">
        <v>84</v>
      </c>
      <c r="B58" s="331" t="s">
        <v>85</v>
      </c>
      <c r="C58" s="331" t="s">
        <v>86</v>
      </c>
      <c r="D58" s="331" t="s">
        <v>87</v>
      </c>
      <c r="E58" s="331" t="s">
        <v>102</v>
      </c>
      <c r="F58" s="332" t="s">
        <v>106</v>
      </c>
      <c r="G58" s="332"/>
      <c r="H58" s="332"/>
      <c r="I58" s="332"/>
      <c r="J58" s="380" t="s">
        <v>94</v>
      </c>
      <c r="K58" s="395" t="s">
        <v>633</v>
      </c>
      <c r="L58" s="380" t="s">
        <v>95</v>
      </c>
      <c r="M58" s="386">
        <v>0</v>
      </c>
      <c r="N58" s="314">
        <v>0</v>
      </c>
      <c r="O58" s="314">
        <v>0</v>
      </c>
      <c r="P58" s="314">
        <v>0</v>
      </c>
      <c r="Q58" s="314">
        <v>0</v>
      </c>
      <c r="R58" s="314">
        <v>0</v>
      </c>
      <c r="S58" s="314"/>
      <c r="T58" s="314">
        <v>0</v>
      </c>
      <c r="U58" s="321" t="s">
        <v>458</v>
      </c>
    </row>
    <row r="59" spans="1:22" s="306" customFormat="1" ht="13.75" customHeight="1">
      <c r="A59" s="304" t="s">
        <v>84</v>
      </c>
      <c r="B59" s="304" t="s">
        <v>85</v>
      </c>
      <c r="C59" s="304" t="s">
        <v>86</v>
      </c>
      <c r="D59" s="304" t="s">
        <v>87</v>
      </c>
      <c r="E59" s="304" t="s">
        <v>107</v>
      </c>
      <c r="F59" s="305" t="s">
        <v>108</v>
      </c>
      <c r="G59" s="305"/>
      <c r="H59" s="305"/>
      <c r="I59" s="305"/>
      <c r="J59" s="374" t="s">
        <v>109</v>
      </c>
      <c r="K59" s="385"/>
      <c r="L59" s="374" t="s">
        <v>238</v>
      </c>
      <c r="M59" s="396">
        <f>140000*M4</f>
        <v>147000</v>
      </c>
      <c r="N59" s="307">
        <f>ROUND($M59*N$4,2)</f>
        <v>2131.5</v>
      </c>
      <c r="O59" s="307">
        <f>ROUND($M59*O$4,2)</f>
        <v>31458</v>
      </c>
      <c r="P59" s="307">
        <f>ROUND($M59*P$4,2)</f>
        <v>0</v>
      </c>
      <c r="Q59" s="307">
        <f>IF(M59&gt;=18000,ROUND(18000*Q$4,2),ROUND($M59*Q$4,2))</f>
        <v>212.4</v>
      </c>
      <c r="R59" s="307">
        <f>R4-44</f>
        <v>8512.84</v>
      </c>
      <c r="S59" s="307">
        <f>12*33.13</f>
        <v>397.56000000000006</v>
      </c>
      <c r="T59" s="274">
        <f t="shared" ref="T59:T61" si="17">$T$4</f>
        <v>43.2</v>
      </c>
      <c r="U59" s="308"/>
    </row>
    <row r="60" spans="1:22" s="352" customFormat="1" ht="13.75" customHeight="1">
      <c r="A60" s="417" t="s">
        <v>84</v>
      </c>
      <c r="B60" s="417" t="s">
        <v>85</v>
      </c>
      <c r="C60" s="417" t="s">
        <v>86</v>
      </c>
      <c r="D60" s="417" t="s">
        <v>87</v>
      </c>
      <c r="E60" s="417" t="s">
        <v>107</v>
      </c>
      <c r="F60" s="330" t="s">
        <v>110</v>
      </c>
      <c r="G60" s="330"/>
      <c r="H60" s="330"/>
      <c r="I60" s="330"/>
      <c r="J60" s="418" t="s">
        <v>109</v>
      </c>
      <c r="K60" s="428">
        <v>185</v>
      </c>
      <c r="L60" s="418" t="s">
        <v>221</v>
      </c>
      <c r="M60" s="426">
        <v>97237</v>
      </c>
      <c r="N60" s="420">
        <f t="shared" ref="N60:P71" si="18">ROUND($M60*N$4,2)</f>
        <v>1409.94</v>
      </c>
      <c r="O60" s="420">
        <f t="shared" si="18"/>
        <v>20808.72</v>
      </c>
      <c r="P60" s="420">
        <f t="shared" si="18"/>
        <v>0</v>
      </c>
      <c r="Q60" s="420">
        <f>IF(M60&gt;=18000,ROUND(18000*Q$4,2),ROUND($M60*Q$4,2))</f>
        <v>212.4</v>
      </c>
      <c r="R60" s="420">
        <f>R4</f>
        <v>8556.84</v>
      </c>
      <c r="S60" s="420">
        <f>12*31.18</f>
        <v>374.15999999999997</v>
      </c>
      <c r="T60" s="421">
        <f t="shared" si="17"/>
        <v>43.2</v>
      </c>
      <c r="U60" s="364"/>
    </row>
    <row r="61" spans="1:22" s="306" customFormat="1" ht="13.75" customHeight="1">
      <c r="A61" s="304" t="s">
        <v>84</v>
      </c>
      <c r="B61" s="304" t="s">
        <v>85</v>
      </c>
      <c r="C61" s="304" t="s">
        <v>86</v>
      </c>
      <c r="D61" s="304" t="s">
        <v>87</v>
      </c>
      <c r="E61" s="304" t="s">
        <v>107</v>
      </c>
      <c r="F61" s="305" t="s">
        <v>111</v>
      </c>
      <c r="G61" s="305"/>
      <c r="H61" s="305"/>
      <c r="I61" s="305"/>
      <c r="J61" s="374" t="s">
        <v>109</v>
      </c>
      <c r="K61" s="382">
        <v>180</v>
      </c>
      <c r="L61" s="374" t="s">
        <v>239</v>
      </c>
      <c r="M61" s="383">
        <f>81275</f>
        <v>81275</v>
      </c>
      <c r="N61" s="307">
        <f t="shared" si="18"/>
        <v>1178.49</v>
      </c>
      <c r="O61" s="307">
        <f t="shared" si="18"/>
        <v>17392.849999999999</v>
      </c>
      <c r="P61" s="307">
        <f t="shared" si="18"/>
        <v>0</v>
      </c>
      <c r="Q61" s="307">
        <f>IF(M61&gt;=18000,ROUND(18000*Q$4,2),ROUND($M61*Q$4,2))</f>
        <v>212.4</v>
      </c>
      <c r="R61" s="307">
        <f>R4-45</f>
        <v>8511.84</v>
      </c>
      <c r="S61" s="307">
        <f>12*28.4</f>
        <v>340.79999999999995</v>
      </c>
      <c r="T61" s="274">
        <f t="shared" si="17"/>
        <v>43.2</v>
      </c>
      <c r="U61" s="308"/>
    </row>
    <row r="62" spans="1:22" ht="13.75" customHeight="1">
      <c r="A62" s="309" t="s">
        <v>84</v>
      </c>
      <c r="B62" s="309" t="s">
        <v>85</v>
      </c>
      <c r="C62" s="309" t="s">
        <v>86</v>
      </c>
      <c r="D62" s="309" t="s">
        <v>87</v>
      </c>
      <c r="E62" s="309" t="s">
        <v>107</v>
      </c>
      <c r="F62" s="295" t="s">
        <v>108</v>
      </c>
      <c r="J62" s="366" t="s">
        <v>91</v>
      </c>
      <c r="K62" s="367" t="s">
        <v>633</v>
      </c>
      <c r="L62" s="366" t="s">
        <v>492</v>
      </c>
      <c r="M62" s="393">
        <f>(3*5000)</f>
        <v>15000</v>
      </c>
      <c r="N62" s="312">
        <f t="shared" si="18"/>
        <v>217.5</v>
      </c>
      <c r="O62" s="312">
        <v>0</v>
      </c>
      <c r="P62" s="312">
        <v>0</v>
      </c>
      <c r="Q62" s="312">
        <v>0</v>
      </c>
      <c r="R62" s="312">
        <v>0</v>
      </c>
      <c r="S62" s="312">
        <v>0</v>
      </c>
      <c r="T62" s="312">
        <v>0</v>
      </c>
      <c r="U62" s="423"/>
    </row>
    <row r="63" spans="1:22" s="294" customFormat="1" ht="13.75" customHeight="1">
      <c r="A63" s="299" t="s">
        <v>84</v>
      </c>
      <c r="B63" s="299" t="s">
        <v>85</v>
      </c>
      <c r="C63" s="299" t="s">
        <v>86</v>
      </c>
      <c r="D63" s="299" t="s">
        <v>87</v>
      </c>
      <c r="E63" s="299" t="s">
        <v>107</v>
      </c>
      <c r="F63" s="294" t="s">
        <v>113</v>
      </c>
      <c r="J63" s="387" t="s">
        <v>114</v>
      </c>
      <c r="K63" s="397">
        <v>190</v>
      </c>
      <c r="L63" s="387" t="s">
        <v>220</v>
      </c>
      <c r="M63" s="389">
        <v>48300</v>
      </c>
      <c r="N63" s="319">
        <f t="shared" si="18"/>
        <v>700.35</v>
      </c>
      <c r="O63" s="319">
        <f t="shared" si="18"/>
        <v>10336.200000000001</v>
      </c>
      <c r="P63" s="319">
        <f t="shared" si="18"/>
        <v>0</v>
      </c>
      <c r="Q63" s="319">
        <f>IF(M63&gt;=18000,ROUND(18000*Q$4,2),ROUND($M63*Q$4,2))</f>
        <v>212.4</v>
      </c>
      <c r="R63" s="319">
        <f>R4</f>
        <v>8556.84</v>
      </c>
      <c r="S63" s="319">
        <f>12*22.83</f>
        <v>273.95999999999998</v>
      </c>
      <c r="T63" s="320">
        <f t="shared" ref="T63:T64" si="19">$T$4</f>
        <v>43.2</v>
      </c>
      <c r="U63" s="298"/>
    </row>
    <row r="64" spans="1:22" s="306" customFormat="1" ht="13.75" customHeight="1">
      <c r="A64" s="304" t="s">
        <v>84</v>
      </c>
      <c r="B64" s="304" t="s">
        <v>85</v>
      </c>
      <c r="C64" s="304" t="s">
        <v>86</v>
      </c>
      <c r="D64" s="304" t="s">
        <v>87</v>
      </c>
      <c r="E64" s="304" t="s">
        <v>107</v>
      </c>
      <c r="F64" s="305" t="s">
        <v>115</v>
      </c>
      <c r="G64" s="305"/>
      <c r="H64" s="305"/>
      <c r="I64" s="305"/>
      <c r="J64" s="374" t="s">
        <v>114</v>
      </c>
      <c r="K64" s="385">
        <v>173</v>
      </c>
      <c r="L64" s="374" t="s">
        <v>240</v>
      </c>
      <c r="M64" s="379">
        <f>33600</f>
        <v>33600</v>
      </c>
      <c r="N64" s="307">
        <f>ROUND($M64*N$4,2)</f>
        <v>487.2</v>
      </c>
      <c r="O64" s="307">
        <f>ROUND($M64*O$4,2)</f>
        <v>7190.4</v>
      </c>
      <c r="P64" s="307">
        <f>ROUND($M64*P$4,2)</f>
        <v>0</v>
      </c>
      <c r="Q64" s="307">
        <f>IF(M64&gt;=18000,ROUND(18000*Q$4,2),ROUND($M64*Q$4,2))</f>
        <v>212.4</v>
      </c>
      <c r="R64" s="307">
        <v>0</v>
      </c>
      <c r="S64" s="307">
        <f>12*15.46</f>
        <v>185.52</v>
      </c>
      <c r="T64" s="274">
        <f t="shared" si="19"/>
        <v>43.2</v>
      </c>
      <c r="U64" s="308"/>
    </row>
    <row r="65" spans="1:23" ht="13.75" customHeight="1">
      <c r="A65" s="309" t="s">
        <v>84</v>
      </c>
      <c r="B65" s="309" t="s">
        <v>85</v>
      </c>
      <c r="C65" s="309" t="s">
        <v>86</v>
      </c>
      <c r="D65" s="309" t="s">
        <v>87</v>
      </c>
      <c r="E65" s="309" t="s">
        <v>112</v>
      </c>
      <c r="F65" s="310" t="s">
        <v>115</v>
      </c>
      <c r="G65" s="310"/>
      <c r="H65" s="310"/>
      <c r="I65" s="310"/>
      <c r="J65" s="366" t="s">
        <v>91</v>
      </c>
      <c r="K65" s="367" t="s">
        <v>633</v>
      </c>
      <c r="L65" s="366" t="s">
        <v>493</v>
      </c>
      <c r="M65" s="393">
        <f>(5000*2)</f>
        <v>10000</v>
      </c>
      <c r="N65" s="312">
        <f t="shared" si="18"/>
        <v>145</v>
      </c>
      <c r="O65" s="312">
        <v>0</v>
      </c>
      <c r="P65" s="312">
        <v>0</v>
      </c>
      <c r="Q65" s="312">
        <v>0</v>
      </c>
      <c r="R65" s="312">
        <v>0</v>
      </c>
      <c r="S65" s="312">
        <v>0</v>
      </c>
      <c r="T65" s="312">
        <v>0</v>
      </c>
      <c r="U65" s="423"/>
    </row>
    <row r="66" spans="1:23" s="352" customFormat="1" ht="13.75" customHeight="1">
      <c r="A66" s="417" t="s">
        <v>84</v>
      </c>
      <c r="B66" s="417" t="s">
        <v>85</v>
      </c>
      <c r="C66" s="417" t="s">
        <v>86</v>
      </c>
      <c r="D66" s="417" t="s">
        <v>87</v>
      </c>
      <c r="E66" s="417" t="s">
        <v>116</v>
      </c>
      <c r="F66" s="330" t="s">
        <v>117</v>
      </c>
      <c r="G66" s="330"/>
      <c r="H66" s="330"/>
      <c r="I66" s="330"/>
      <c r="J66" s="418" t="s">
        <v>118</v>
      </c>
      <c r="K66" s="429">
        <v>177</v>
      </c>
      <c r="L66" s="418" t="s">
        <v>394</v>
      </c>
      <c r="M66" s="422">
        <f>29300*M4</f>
        <v>30765</v>
      </c>
      <c r="N66" s="420">
        <f t="shared" si="18"/>
        <v>446.09</v>
      </c>
      <c r="O66" s="420">
        <f t="shared" si="18"/>
        <v>6583.71</v>
      </c>
      <c r="P66" s="420">
        <f t="shared" si="18"/>
        <v>0</v>
      </c>
      <c r="Q66" s="420">
        <f>IF(M66&gt;=18000,ROUND(18000*Q$4,2),ROUND($M66*Q$4,2))</f>
        <v>212.4</v>
      </c>
      <c r="R66" s="420">
        <f>5.42*12</f>
        <v>65.039999999999992</v>
      </c>
      <c r="S66" s="420">
        <f>12*15.09</f>
        <v>181.07999999999998</v>
      </c>
      <c r="T66" s="421">
        <f t="shared" ref="T66" si="20">$T$4</f>
        <v>43.2</v>
      </c>
      <c r="U66" s="364"/>
      <c r="V66" s="352" t="s">
        <v>560</v>
      </c>
    </row>
    <row r="67" spans="1:23" ht="13.75" customHeight="1">
      <c r="A67" s="309" t="s">
        <v>84</v>
      </c>
      <c r="B67" s="309" t="s">
        <v>85</v>
      </c>
      <c r="C67" s="309" t="s">
        <v>86</v>
      </c>
      <c r="D67" s="309" t="s">
        <v>87</v>
      </c>
      <c r="E67" s="309" t="s">
        <v>116</v>
      </c>
      <c r="F67" s="310" t="s">
        <v>447</v>
      </c>
      <c r="G67" s="310"/>
      <c r="H67" s="310"/>
      <c r="I67" s="310"/>
      <c r="J67" s="366" t="s">
        <v>91</v>
      </c>
      <c r="K67" s="367" t="s">
        <v>633</v>
      </c>
      <c r="L67" s="366" t="s">
        <v>629</v>
      </c>
      <c r="M67" s="393">
        <f>2000</f>
        <v>2000</v>
      </c>
      <c r="N67" s="312">
        <f t="shared" si="18"/>
        <v>29</v>
      </c>
      <c r="O67" s="312">
        <v>0</v>
      </c>
      <c r="P67" s="312">
        <v>0</v>
      </c>
      <c r="Q67" s="312">
        <v>0</v>
      </c>
      <c r="R67" s="312">
        <v>0</v>
      </c>
      <c r="S67" s="312">
        <v>0</v>
      </c>
      <c r="T67" s="312">
        <v>0</v>
      </c>
      <c r="U67" s="423"/>
    </row>
    <row r="68" spans="1:23" ht="13.75" customHeight="1">
      <c r="A68" s="309" t="s">
        <v>84</v>
      </c>
      <c r="B68" s="309" t="s">
        <v>85</v>
      </c>
      <c r="C68" s="309" t="s">
        <v>86</v>
      </c>
      <c r="D68" s="309" t="s">
        <v>87</v>
      </c>
      <c r="E68" s="309" t="s">
        <v>124</v>
      </c>
      <c r="F68" s="310" t="s">
        <v>448</v>
      </c>
      <c r="G68" s="310"/>
      <c r="H68" s="310"/>
      <c r="I68" s="310"/>
      <c r="J68" s="366" t="s">
        <v>91</v>
      </c>
      <c r="K68" s="367" t="s">
        <v>633</v>
      </c>
      <c r="L68" s="366" t="s">
        <v>450</v>
      </c>
      <c r="M68" s="393">
        <f>2500</f>
        <v>2500</v>
      </c>
      <c r="N68" s="312">
        <f t="shared" si="18"/>
        <v>36.25</v>
      </c>
      <c r="O68" s="312">
        <v>0</v>
      </c>
      <c r="P68" s="312">
        <v>0</v>
      </c>
      <c r="Q68" s="312">
        <v>0</v>
      </c>
      <c r="R68" s="312">
        <v>0</v>
      </c>
      <c r="S68" s="312">
        <v>0</v>
      </c>
      <c r="T68" s="312">
        <v>0</v>
      </c>
      <c r="U68" s="423"/>
    </row>
    <row r="69" spans="1:23" ht="13.75" customHeight="1">
      <c r="A69" s="309" t="s">
        <v>84</v>
      </c>
      <c r="B69" s="309" t="s">
        <v>85</v>
      </c>
      <c r="C69" s="309" t="s">
        <v>86</v>
      </c>
      <c r="D69" s="309" t="s">
        <v>87</v>
      </c>
      <c r="E69" s="309" t="s">
        <v>218</v>
      </c>
      <c r="F69" s="310" t="s">
        <v>121</v>
      </c>
      <c r="G69" s="310"/>
      <c r="H69" s="310"/>
      <c r="I69" s="310"/>
      <c r="J69" s="366" t="s">
        <v>399</v>
      </c>
      <c r="K69" s="367" t="s">
        <v>633</v>
      </c>
      <c r="L69" s="366" t="s">
        <v>400</v>
      </c>
      <c r="M69" s="392">
        <v>9000</v>
      </c>
      <c r="N69" s="312">
        <f t="shared" si="18"/>
        <v>130.5</v>
      </c>
      <c r="O69" s="312">
        <f t="shared" si="18"/>
        <v>1926</v>
      </c>
      <c r="P69" s="312">
        <f t="shared" si="18"/>
        <v>0</v>
      </c>
      <c r="Q69" s="312">
        <f>IF(M69&gt;=18000,ROUND(18000*Q$4,2),ROUND($M69*Q$4,2))</f>
        <v>106.2</v>
      </c>
      <c r="R69" s="312">
        <v>0</v>
      </c>
      <c r="S69" s="312">
        <v>0</v>
      </c>
      <c r="T69" s="289">
        <v>0</v>
      </c>
      <c r="U69" s="334" t="s">
        <v>561</v>
      </c>
      <c r="V69" s="352" t="s">
        <v>560</v>
      </c>
      <c r="W69" s="295" t="s">
        <v>639</v>
      </c>
    </row>
    <row r="70" spans="1:23" ht="13.75" customHeight="1">
      <c r="A70" s="309" t="s">
        <v>84</v>
      </c>
      <c r="B70" s="309" t="s">
        <v>85</v>
      </c>
      <c r="C70" s="309" t="s">
        <v>86</v>
      </c>
      <c r="D70" s="309" t="s">
        <v>87</v>
      </c>
      <c r="E70" s="309" t="s">
        <v>124</v>
      </c>
      <c r="F70" s="310" t="s">
        <v>449</v>
      </c>
      <c r="G70" s="310"/>
      <c r="H70" s="310"/>
      <c r="I70" s="310"/>
      <c r="J70" s="366" t="s">
        <v>91</v>
      </c>
      <c r="K70" s="367" t="s">
        <v>633</v>
      </c>
      <c r="L70" s="366" t="s">
        <v>119</v>
      </c>
      <c r="M70" s="393">
        <f>(5*1000)</f>
        <v>5000</v>
      </c>
      <c r="N70" s="312">
        <f t="shared" si="18"/>
        <v>72.5</v>
      </c>
      <c r="O70" s="312">
        <v>0</v>
      </c>
      <c r="P70" s="312">
        <v>0</v>
      </c>
      <c r="Q70" s="312">
        <v>0</v>
      </c>
      <c r="R70" s="312">
        <v>0</v>
      </c>
      <c r="S70" s="312">
        <v>0</v>
      </c>
      <c r="T70" s="312">
        <v>0</v>
      </c>
      <c r="U70" s="423"/>
    </row>
    <row r="71" spans="1:23" ht="13.75" customHeight="1">
      <c r="A71" s="309" t="s">
        <v>84</v>
      </c>
      <c r="B71" s="309" t="s">
        <v>85</v>
      </c>
      <c r="C71" s="309" t="s">
        <v>86</v>
      </c>
      <c r="D71" s="309" t="s">
        <v>87</v>
      </c>
      <c r="E71" s="309" t="s">
        <v>120</v>
      </c>
      <c r="F71" s="310" t="s">
        <v>121</v>
      </c>
      <c r="G71" s="310"/>
      <c r="H71" s="310"/>
      <c r="I71" s="310"/>
      <c r="J71" s="366" t="s">
        <v>122</v>
      </c>
      <c r="K71" s="367" t="s">
        <v>633</v>
      </c>
      <c r="L71" s="366" t="s">
        <v>397</v>
      </c>
      <c r="M71" s="392">
        <v>25000</v>
      </c>
      <c r="N71" s="312">
        <f t="shared" si="18"/>
        <v>362.5</v>
      </c>
      <c r="O71" s="312">
        <f t="shared" si="18"/>
        <v>5350</v>
      </c>
      <c r="P71" s="312">
        <f t="shared" si="18"/>
        <v>0</v>
      </c>
      <c r="Q71" s="312">
        <f>IF(M71&gt;=18000,ROUND(18000*Q$4,2),ROUND($M71*Q$4,2))</f>
        <v>212.4</v>
      </c>
      <c r="R71" s="312">
        <v>0</v>
      </c>
      <c r="S71" s="312">
        <v>0</v>
      </c>
      <c r="T71" s="289">
        <v>0</v>
      </c>
      <c r="U71" s="334" t="s">
        <v>562</v>
      </c>
      <c r="V71" s="352" t="s">
        <v>560</v>
      </c>
    </row>
    <row r="72" spans="1:23" ht="13.75" customHeight="1" thickBot="1">
      <c r="A72" s="309"/>
      <c r="B72" s="309"/>
      <c r="C72" s="309"/>
      <c r="D72" s="309"/>
      <c r="E72" s="309"/>
      <c r="F72" s="310"/>
      <c r="G72" s="310"/>
      <c r="H72" s="310"/>
      <c r="I72" s="310"/>
      <c r="J72" s="335"/>
      <c r="K72" s="336"/>
      <c r="L72" s="335"/>
      <c r="M72" s="337"/>
      <c r="N72" s="338"/>
      <c r="O72" s="338"/>
      <c r="P72" s="338"/>
      <c r="Q72" s="338"/>
      <c r="R72" s="338"/>
      <c r="S72" s="338"/>
      <c r="T72" s="337"/>
      <c r="U72" s="339"/>
    </row>
    <row r="73" spans="1:23" ht="13.75" customHeight="1" thickTop="1" thickBot="1">
      <c r="F73" s="341"/>
      <c r="G73" s="342"/>
      <c r="H73" s="342"/>
      <c r="I73" s="342"/>
      <c r="J73" s="313"/>
      <c r="K73" s="333"/>
      <c r="L73" s="343"/>
      <c r="M73" s="302" t="s">
        <v>77</v>
      </c>
      <c r="N73" s="437" t="s">
        <v>78</v>
      </c>
      <c r="O73" s="438" t="s">
        <v>79</v>
      </c>
      <c r="P73" s="437" t="s">
        <v>80</v>
      </c>
      <c r="Q73" s="437" t="s">
        <v>81</v>
      </c>
      <c r="R73" s="437" t="s">
        <v>82</v>
      </c>
      <c r="S73" s="439" t="s">
        <v>382</v>
      </c>
      <c r="T73" s="440" t="s">
        <v>395</v>
      </c>
      <c r="U73" s="344"/>
    </row>
    <row r="74" spans="1:23" ht="13.75" customHeight="1">
      <c r="F74" s="345"/>
      <c r="G74" s="346"/>
      <c r="H74" s="346"/>
      <c r="I74" s="346"/>
      <c r="J74" s="347" t="s">
        <v>88</v>
      </c>
      <c r="K74" s="348"/>
      <c r="L74" s="349" t="s">
        <v>90</v>
      </c>
      <c r="M74" s="350">
        <f>SUMIF($J$8:$J$71,$L$74,$M$8:$M$71)</f>
        <v>69400.800000000003</v>
      </c>
      <c r="N74" s="275">
        <f t="shared" ref="N74:N84" si="21">SUMIF($J$8:$J$71,L74,$N$8:$N$71)</f>
        <v>1006.31</v>
      </c>
      <c r="O74" s="275">
        <f t="shared" ref="O74:O84" si="22">SUMIF($J$8:$J$71,L74,$O$8:$O$71)</f>
        <v>14851.77</v>
      </c>
      <c r="P74" s="275">
        <f t="shared" ref="P74:P84" si="23">SUMIF($J$8:$J$71,L74,$P$8:$P$71)</f>
        <v>0</v>
      </c>
      <c r="Q74" s="275">
        <f t="shared" ref="Q74:Q84" si="24">SUMIF($J$8:$J$71,L74,$Q$8:$Q$71)</f>
        <v>415.6</v>
      </c>
      <c r="R74" s="285">
        <f t="shared" ref="R74:R84" si="25">SUMIF($J$8:$J$71,L74,$R$8:$R$71)</f>
        <v>532.56000000000006</v>
      </c>
      <c r="S74" s="276">
        <f t="shared" ref="S74:S84" si="26">SUMIF($J$8:$J$71,L74,$S$8:$S$71)</f>
        <v>251.52</v>
      </c>
      <c r="T74" s="276">
        <f t="shared" ref="T74:T84" si="27">SUMIF($J$8:$J$71,L74,$T$8:$T$71)</f>
        <v>43.2</v>
      </c>
      <c r="U74" s="275"/>
    </row>
    <row r="75" spans="1:23" ht="13.75" customHeight="1">
      <c r="F75" s="351"/>
      <c r="G75" s="352"/>
      <c r="H75" s="352"/>
      <c r="I75" s="352"/>
      <c r="J75" s="310" t="s">
        <v>97</v>
      </c>
      <c r="K75" s="311"/>
      <c r="L75" s="295" t="s">
        <v>98</v>
      </c>
      <c r="M75" s="297">
        <f t="shared" ref="M75:M84" si="28">SUMIF($J$8:$J$71,L75,$M$8:$M$71)</f>
        <v>733292</v>
      </c>
      <c r="N75" s="277">
        <f t="shared" si="21"/>
        <v>10632.74</v>
      </c>
      <c r="O75" s="277">
        <f t="shared" si="22"/>
        <v>156924.48000000001</v>
      </c>
      <c r="P75" s="277">
        <f t="shared" si="23"/>
        <v>0</v>
      </c>
      <c r="Q75" s="277">
        <f t="shared" si="24"/>
        <v>2548.8000000000006</v>
      </c>
      <c r="R75" s="286">
        <f t="shared" si="25"/>
        <v>94612.799999999974</v>
      </c>
      <c r="S75" s="276">
        <f t="shared" si="26"/>
        <v>3508.08</v>
      </c>
      <c r="T75" s="276">
        <f t="shared" si="27"/>
        <v>496.79999999999995</v>
      </c>
      <c r="U75" s="278"/>
    </row>
    <row r="76" spans="1:23" ht="13.75" customHeight="1">
      <c r="F76" s="351"/>
      <c r="G76" s="352"/>
      <c r="H76" s="352"/>
      <c r="I76" s="352"/>
      <c r="J76" s="310" t="s">
        <v>123</v>
      </c>
      <c r="K76" s="311"/>
      <c r="L76" s="295" t="s">
        <v>99</v>
      </c>
      <c r="M76" s="297">
        <f t="shared" si="28"/>
        <v>390993</v>
      </c>
      <c r="N76" s="277">
        <f t="shared" si="21"/>
        <v>5669.4000000000005</v>
      </c>
      <c r="O76" s="277">
        <f t="shared" si="22"/>
        <v>83672.499999999985</v>
      </c>
      <c r="P76" s="277">
        <f t="shared" si="23"/>
        <v>0</v>
      </c>
      <c r="Q76" s="277">
        <f t="shared" si="24"/>
        <v>1274.4000000000001</v>
      </c>
      <c r="R76" s="286">
        <f t="shared" si="25"/>
        <v>42694.2</v>
      </c>
      <c r="S76" s="276">
        <f t="shared" si="26"/>
        <v>1815.12</v>
      </c>
      <c r="T76" s="276">
        <f t="shared" si="27"/>
        <v>237.60000000000002</v>
      </c>
      <c r="U76" s="278"/>
    </row>
    <row r="77" spans="1:23" ht="13.75" customHeight="1">
      <c r="F77" s="351"/>
      <c r="G77" s="352"/>
      <c r="H77" s="352"/>
      <c r="I77" s="352"/>
      <c r="J77" s="310" t="s">
        <v>124</v>
      </c>
      <c r="K77" s="311"/>
      <c r="L77" s="295" t="s">
        <v>393</v>
      </c>
      <c r="M77" s="297">
        <f t="shared" si="28"/>
        <v>33072.94</v>
      </c>
      <c r="N77" s="277">
        <f t="shared" si="21"/>
        <v>479.56</v>
      </c>
      <c r="O77" s="277">
        <f t="shared" si="22"/>
        <v>7077.61</v>
      </c>
      <c r="P77" s="277">
        <f t="shared" si="23"/>
        <v>0</v>
      </c>
      <c r="Q77" s="277">
        <f t="shared" si="24"/>
        <v>212.4</v>
      </c>
      <c r="R77" s="286">
        <f t="shared" si="25"/>
        <v>0</v>
      </c>
      <c r="S77" s="276">
        <f t="shared" si="26"/>
        <v>194.64</v>
      </c>
      <c r="T77" s="276">
        <f t="shared" si="27"/>
        <v>43.2</v>
      </c>
      <c r="U77" s="278"/>
    </row>
    <row r="78" spans="1:23" ht="13.75" customHeight="1">
      <c r="F78" s="351"/>
      <c r="G78" s="352"/>
      <c r="H78" s="352"/>
      <c r="I78" s="352"/>
      <c r="J78" s="310" t="s">
        <v>124</v>
      </c>
      <c r="K78" s="311"/>
      <c r="L78" s="295" t="s">
        <v>636</v>
      </c>
      <c r="M78" s="297">
        <f t="shared" si="28"/>
        <v>65102.18</v>
      </c>
      <c r="N78" s="277">
        <f t="shared" si="21"/>
        <v>943.98</v>
      </c>
      <c r="O78" s="277">
        <f t="shared" si="22"/>
        <v>13931.86</v>
      </c>
      <c r="P78" s="277">
        <f t="shared" si="23"/>
        <v>0</v>
      </c>
      <c r="Q78" s="277">
        <f t="shared" si="24"/>
        <v>424.8</v>
      </c>
      <c r="R78" s="286">
        <f>SUMIF($J$8:$J$71,L78,$R$8:$R$71)</f>
        <v>0</v>
      </c>
      <c r="S78" s="276">
        <f t="shared" si="26"/>
        <v>0</v>
      </c>
      <c r="T78" s="276">
        <f t="shared" si="27"/>
        <v>79.2</v>
      </c>
      <c r="U78" s="278"/>
    </row>
    <row r="79" spans="1:23" ht="13.75" customHeight="1">
      <c r="F79" s="351"/>
      <c r="G79" s="352"/>
      <c r="H79" s="352"/>
      <c r="I79" s="352"/>
      <c r="J79" s="310" t="s">
        <v>124</v>
      </c>
      <c r="K79" s="311"/>
      <c r="L79" s="295" t="s">
        <v>101</v>
      </c>
      <c r="M79" s="297">
        <f t="shared" si="28"/>
        <v>223897</v>
      </c>
      <c r="N79" s="277">
        <f t="shared" si="21"/>
        <v>3246.52</v>
      </c>
      <c r="O79" s="277">
        <f t="shared" si="22"/>
        <v>47913.959999999992</v>
      </c>
      <c r="P79" s="277">
        <f t="shared" si="23"/>
        <v>0</v>
      </c>
      <c r="Q79" s="277">
        <f t="shared" si="24"/>
        <v>637.20000000000005</v>
      </c>
      <c r="R79" s="286">
        <f t="shared" si="25"/>
        <v>17113.68</v>
      </c>
      <c r="S79" s="276">
        <f t="shared" si="26"/>
        <v>964.92000000000007</v>
      </c>
      <c r="T79" s="276">
        <f t="shared" si="27"/>
        <v>129.60000000000002</v>
      </c>
      <c r="U79" s="278"/>
    </row>
    <row r="80" spans="1:23" ht="13.75" customHeight="1">
      <c r="F80" s="351"/>
      <c r="G80" s="352"/>
      <c r="H80" s="352"/>
      <c r="I80" s="352"/>
      <c r="J80" s="310" t="s">
        <v>461</v>
      </c>
      <c r="K80" s="311"/>
      <c r="L80" s="295" t="s">
        <v>459</v>
      </c>
      <c r="M80" s="297">
        <f t="shared" si="28"/>
        <v>240531.27</v>
      </c>
      <c r="N80" s="277">
        <f t="shared" si="21"/>
        <v>3487.7</v>
      </c>
      <c r="O80" s="277">
        <f t="shared" si="22"/>
        <v>51473.68</v>
      </c>
      <c r="P80" s="277">
        <f t="shared" si="23"/>
        <v>0</v>
      </c>
      <c r="Q80" s="277">
        <f t="shared" si="24"/>
        <v>1062</v>
      </c>
      <c r="R80" s="286">
        <f>SUMIF($J$8:$J$71,L80,$R$8:$R$71)</f>
        <v>25625.52</v>
      </c>
      <c r="S80" s="276">
        <f t="shared" si="26"/>
        <v>1149.5999999999999</v>
      </c>
      <c r="T80" s="276">
        <f t="shared" si="27"/>
        <v>212.39999999999998</v>
      </c>
      <c r="U80" s="278"/>
    </row>
    <row r="81" spans="6:22" ht="13.75" customHeight="1">
      <c r="F81" s="351"/>
      <c r="G81" s="352"/>
      <c r="H81" s="352"/>
      <c r="I81" s="352"/>
      <c r="J81" s="310" t="s">
        <v>219</v>
      </c>
      <c r="K81" s="311"/>
      <c r="L81" s="295" t="s">
        <v>546</v>
      </c>
      <c r="M81" s="297">
        <f t="shared" si="28"/>
        <v>100838</v>
      </c>
      <c r="N81" s="277">
        <f t="shared" si="21"/>
        <v>1462.15</v>
      </c>
      <c r="O81" s="277">
        <f t="shared" si="22"/>
        <v>21579.34</v>
      </c>
      <c r="P81" s="277">
        <f t="shared" si="23"/>
        <v>0</v>
      </c>
      <c r="Q81" s="277">
        <f t="shared" si="24"/>
        <v>424.8</v>
      </c>
      <c r="R81" s="286">
        <f t="shared" si="25"/>
        <v>8556.84</v>
      </c>
      <c r="S81" s="276">
        <f t="shared" si="26"/>
        <v>340</v>
      </c>
      <c r="T81" s="276">
        <f t="shared" si="27"/>
        <v>82.800000000000011</v>
      </c>
      <c r="U81" s="278"/>
    </row>
    <row r="82" spans="6:22" ht="13.75" customHeight="1">
      <c r="F82" s="351"/>
      <c r="G82" s="352"/>
      <c r="H82" s="352"/>
      <c r="I82" s="352"/>
      <c r="J82" s="310" t="s">
        <v>497</v>
      </c>
      <c r="K82" s="311"/>
      <c r="L82" s="295" t="s">
        <v>487</v>
      </c>
      <c r="M82" s="297">
        <f t="shared" si="28"/>
        <v>70517</v>
      </c>
      <c r="N82" s="277">
        <f t="shared" si="21"/>
        <v>1022.5</v>
      </c>
      <c r="O82" s="277">
        <f t="shared" si="22"/>
        <v>15090.64</v>
      </c>
      <c r="P82" s="277">
        <f t="shared" si="23"/>
        <v>0</v>
      </c>
      <c r="Q82" s="277">
        <f t="shared" si="24"/>
        <v>212.4</v>
      </c>
      <c r="R82" s="286">
        <f t="shared" si="25"/>
        <v>8556.84</v>
      </c>
      <c r="S82" s="276">
        <f t="shared" si="26"/>
        <v>320.39999999999998</v>
      </c>
      <c r="T82" s="276">
        <f t="shared" si="27"/>
        <v>43.2</v>
      </c>
      <c r="U82" s="278"/>
    </row>
    <row r="83" spans="6:22" ht="13.75" customHeight="1">
      <c r="F83" s="351"/>
      <c r="G83" s="352"/>
      <c r="H83" s="352"/>
      <c r="I83" s="352"/>
      <c r="J83" s="310" t="s">
        <v>547</v>
      </c>
      <c r="K83" s="311"/>
      <c r="L83" s="295" t="s">
        <v>616</v>
      </c>
      <c r="M83" s="297">
        <f>SUMIF($J$8:$J$71,L83,$M$8:$M$71)</f>
        <v>35770</v>
      </c>
      <c r="N83" s="277">
        <f t="shared" si="21"/>
        <v>518.66999999999996</v>
      </c>
      <c r="O83" s="277">
        <f t="shared" si="22"/>
        <v>7654.78</v>
      </c>
      <c r="P83" s="277">
        <f t="shared" si="23"/>
        <v>0</v>
      </c>
      <c r="Q83" s="277">
        <f t="shared" si="24"/>
        <v>212.4</v>
      </c>
      <c r="R83" s="286">
        <f t="shared" si="25"/>
        <v>0</v>
      </c>
      <c r="S83" s="276">
        <f t="shared" si="26"/>
        <v>0</v>
      </c>
      <c r="T83" s="276">
        <f t="shared" si="27"/>
        <v>0</v>
      </c>
      <c r="U83" s="278"/>
    </row>
    <row r="84" spans="6:22" ht="13.75" customHeight="1" thickBot="1">
      <c r="F84" s="353"/>
      <c r="G84" s="342"/>
      <c r="H84" s="342"/>
      <c r="I84" s="342"/>
      <c r="J84" s="332" t="s">
        <v>102</v>
      </c>
      <c r="K84" s="354"/>
      <c r="L84" s="313" t="s">
        <v>392</v>
      </c>
      <c r="M84" s="317">
        <f t="shared" si="28"/>
        <v>256821</v>
      </c>
      <c r="N84" s="279">
        <f t="shared" si="21"/>
        <v>3723.9</v>
      </c>
      <c r="O84" s="279">
        <f t="shared" si="22"/>
        <v>54959.69</v>
      </c>
      <c r="P84" s="279">
        <f t="shared" si="23"/>
        <v>0</v>
      </c>
      <c r="Q84" s="279">
        <f t="shared" si="24"/>
        <v>849.6</v>
      </c>
      <c r="R84" s="287">
        <f t="shared" si="25"/>
        <v>26165.52</v>
      </c>
      <c r="S84" s="279">
        <f t="shared" si="26"/>
        <v>1198.44</v>
      </c>
      <c r="T84" s="279">
        <f t="shared" si="27"/>
        <v>172.8</v>
      </c>
      <c r="U84" s="280"/>
      <c r="V84" s="355">
        <f>SUM(S74:T76)+S84+T84</f>
        <v>7723.56</v>
      </c>
    </row>
    <row r="85" spans="6:22" ht="13.75" customHeight="1">
      <c r="F85" s="352"/>
      <c r="G85" s="352"/>
      <c r="H85" s="352"/>
      <c r="I85" s="352"/>
      <c r="J85" s="310"/>
      <c r="K85" s="311"/>
      <c r="L85" s="295" t="s">
        <v>125</v>
      </c>
      <c r="M85" s="297">
        <f>SUM(M74:M84)</f>
        <v>2220235.19</v>
      </c>
      <c r="N85" s="277">
        <f t="shared" ref="N85:T85" si="29">SUM(N74:N84)</f>
        <v>32193.430000000004</v>
      </c>
      <c r="O85" s="277">
        <f t="shared" si="29"/>
        <v>475130.31</v>
      </c>
      <c r="P85" s="277">
        <f t="shared" si="29"/>
        <v>0</v>
      </c>
      <c r="Q85" s="277">
        <f t="shared" si="29"/>
        <v>8274.4</v>
      </c>
      <c r="R85" s="286">
        <f>SUM(R74:R84)</f>
        <v>223857.95999999993</v>
      </c>
      <c r="S85" s="277">
        <f t="shared" si="29"/>
        <v>9742.7199999999993</v>
      </c>
      <c r="T85" s="277">
        <f t="shared" si="29"/>
        <v>1540.8</v>
      </c>
      <c r="U85" s="281"/>
    </row>
    <row r="86" spans="6:22" ht="13.75" customHeight="1" thickBot="1">
      <c r="F86" s="352"/>
      <c r="G86" s="352"/>
      <c r="H86" s="352"/>
      <c r="I86" s="352"/>
      <c r="J86" s="310"/>
      <c r="K86" s="311"/>
      <c r="N86" s="277"/>
      <c r="O86" s="277"/>
      <c r="P86" s="277"/>
      <c r="Q86" s="277"/>
      <c r="R86" s="286"/>
      <c r="S86" s="279"/>
      <c r="T86" s="279"/>
      <c r="U86" s="281"/>
    </row>
    <row r="87" spans="6:22" ht="13.75" customHeight="1">
      <c r="F87" s="345"/>
      <c r="G87" s="346"/>
      <c r="H87" s="346"/>
      <c r="I87" s="346"/>
      <c r="J87" s="347" t="s">
        <v>107</v>
      </c>
      <c r="K87" s="348"/>
      <c r="L87" s="349" t="s">
        <v>126</v>
      </c>
      <c r="M87" s="350">
        <f>SUMIF($J$8:$J$71,L87,$M$8:$M$71)</f>
        <v>325512</v>
      </c>
      <c r="N87" s="275">
        <f>SUMIF($J$8:$J$71,L87,$N$8:$N$71)</f>
        <v>4719.93</v>
      </c>
      <c r="O87" s="275">
        <f>SUMIF($J$8:$J$71,L87,$O$8:$O$71)</f>
        <v>69659.570000000007</v>
      </c>
      <c r="P87" s="275">
        <f>SUMIF($J$8:$J$71,L87,$P$8:$P$71)</f>
        <v>0</v>
      </c>
      <c r="Q87" s="275">
        <f>SUMIF($J$8:$J$71,L87,$Q$8:$Q$71)</f>
        <v>637.20000000000005</v>
      </c>
      <c r="R87" s="285">
        <f>SUMIF($J$8:$J$71,L87,$R$8:$R$71)</f>
        <v>25581.52</v>
      </c>
      <c r="S87" s="276">
        <f>SUMIF($J$8:$J$71,L87,$S$8:$S$71)</f>
        <v>1112.52</v>
      </c>
      <c r="T87" s="276">
        <f>SUMIF($J$8:$J$71,L87,$T$8:$T$71)</f>
        <v>129.60000000000002</v>
      </c>
      <c r="U87" s="282"/>
    </row>
    <row r="88" spans="6:22" ht="13.75" customHeight="1">
      <c r="F88" s="351"/>
      <c r="G88" s="352"/>
      <c r="H88" s="352"/>
      <c r="I88" s="352"/>
      <c r="J88" s="310" t="s">
        <v>127</v>
      </c>
      <c r="K88" s="311"/>
      <c r="L88" s="295" t="s">
        <v>128</v>
      </c>
      <c r="M88" s="297">
        <f>SUMIF($J$8:$J$71,L88,$M$8:$M$71)</f>
        <v>81900</v>
      </c>
      <c r="N88" s="277">
        <f>SUMIF($J$8:$J$71,L88,$N$8:$N$71)</f>
        <v>1187.55</v>
      </c>
      <c r="O88" s="277">
        <f>SUMIF($J$8:$J$71,L88,$O$8:$O$71)</f>
        <v>17526.599999999999</v>
      </c>
      <c r="P88" s="277">
        <f>SUMIF($J$8:$J$71,L88,$P$8:$P$71)</f>
        <v>0</v>
      </c>
      <c r="Q88" s="277">
        <f>SUMIF($J$8:$J$71,L88,$Q$8:$Q$71)</f>
        <v>424.8</v>
      </c>
      <c r="R88" s="286">
        <f>SUMIF($J$8:$J$71,L88,$R$8:$R$71)</f>
        <v>8556.84</v>
      </c>
      <c r="S88" s="276">
        <f>SUMIF($J$8:$J$71,L88,$S$8:$S$71)</f>
        <v>459.48</v>
      </c>
      <c r="T88" s="276">
        <f>SUMIF($J$8:$J$71,L88,$T$8:$T$71)</f>
        <v>86.4</v>
      </c>
      <c r="U88" s="278"/>
    </row>
    <row r="89" spans="6:22" ht="13.75" customHeight="1">
      <c r="F89" s="351"/>
      <c r="G89" s="352"/>
      <c r="H89" s="352"/>
      <c r="I89" s="352"/>
      <c r="J89" s="310" t="s">
        <v>116</v>
      </c>
      <c r="K89" s="311"/>
      <c r="L89" s="295" t="s">
        <v>129</v>
      </c>
      <c r="M89" s="297">
        <f>SUMIF($J$8:$J$71,L89,$M$8:$M$71)</f>
        <v>30765</v>
      </c>
      <c r="N89" s="277">
        <f>SUMIF($J$8:$J$71,L89,$N$8:$N$71)</f>
        <v>446.09</v>
      </c>
      <c r="O89" s="277">
        <f>SUMIF($J$8:$J$71,L89,$O$8:$O$71)</f>
        <v>6583.71</v>
      </c>
      <c r="P89" s="277">
        <f>SUMIF($J$8:$J$71,L89,$P$8:$P$71)</f>
        <v>0</v>
      </c>
      <c r="Q89" s="277">
        <f>SUMIF($J$8:$J$71,L89,$Q$8:$Q$71)</f>
        <v>212.4</v>
      </c>
      <c r="R89" s="286">
        <f>SUMIF($J$8:$J$71,L89,$R$8:$R$71)</f>
        <v>65.039999999999992</v>
      </c>
      <c r="S89" s="276">
        <f>SUMIF($J$8:$J$71,L89,$S$8:$S$71)</f>
        <v>181.07999999999998</v>
      </c>
      <c r="T89" s="276">
        <f>SUMIF($J$8:$J$71,L89,$T$8:$T$71)</f>
        <v>43.2</v>
      </c>
      <c r="U89" s="278"/>
    </row>
    <row r="90" spans="6:22" ht="13.75" customHeight="1">
      <c r="F90" s="351"/>
      <c r="G90" s="352"/>
      <c r="H90" s="352"/>
      <c r="I90" s="352"/>
      <c r="J90" s="310" t="s">
        <v>218</v>
      </c>
      <c r="K90" s="311"/>
      <c r="L90" s="295" t="s">
        <v>399</v>
      </c>
      <c r="M90" s="297">
        <f>SUMIF($J$8:$J$71,L90,$M$8:$M$71)</f>
        <v>9000</v>
      </c>
      <c r="N90" s="277">
        <f>SUMIF($J$8:$J$71,L90,$N$8:$N$71)</f>
        <v>130.5</v>
      </c>
      <c r="O90" s="277">
        <f>SUMIF($J$8:$J$71,L90,$O$8:$O$71)</f>
        <v>1926</v>
      </c>
      <c r="P90" s="277">
        <f>SUMIF($J$8:$J$71,L90,$P$8:$P$71)</f>
        <v>0</v>
      </c>
      <c r="Q90" s="277">
        <f>SUMIF($J$8:$J$71,L90,$Q$8:$Q$71)</f>
        <v>106.2</v>
      </c>
      <c r="R90" s="286">
        <f>SUMIF($J$8:$J$71,L90,$R$8:$R$71)</f>
        <v>0</v>
      </c>
      <c r="S90" s="276">
        <f>SUMIF($J$8:$J$71,L90,$S$8:$S$71)</f>
        <v>0</v>
      </c>
      <c r="T90" s="276">
        <f>SUMIF($J$8:$J$71,L90,$T$8:$T$71)</f>
        <v>0</v>
      </c>
      <c r="U90" s="278"/>
    </row>
    <row r="91" spans="6:22" ht="13.75" customHeight="1" thickBot="1">
      <c r="F91" s="353"/>
      <c r="G91" s="342"/>
      <c r="H91" s="342"/>
      <c r="I91" s="342"/>
      <c r="J91" s="332" t="s">
        <v>120</v>
      </c>
      <c r="K91" s="354"/>
      <c r="L91" s="313" t="s">
        <v>131</v>
      </c>
      <c r="M91" s="317">
        <f>SUMIF($J$8:$J$71,L91,$M$8:$M$71)</f>
        <v>25000</v>
      </c>
      <c r="N91" s="279">
        <f>SUMIF($J$8:$J$71,L91,$N$8:$N$71)</f>
        <v>362.5</v>
      </c>
      <c r="O91" s="279">
        <f>SUMIF($J$8:$J$71,L91,$O$8:$O$71)</f>
        <v>5350</v>
      </c>
      <c r="P91" s="279">
        <f>SUMIF($J$8:$J$71,L91,$P$8:$P$71)</f>
        <v>0</v>
      </c>
      <c r="Q91" s="279">
        <f>SUMIF($J$8:$J$71,L91,$Q$8:$Q$71)</f>
        <v>212.4</v>
      </c>
      <c r="R91" s="287">
        <f>SUMIF($J$8:$J$71,L91,$R$8:$R$71)</f>
        <v>0</v>
      </c>
      <c r="S91" s="279">
        <f>SUMIF($J$8:$J$71,L91,$S$8:$S$71)</f>
        <v>0</v>
      </c>
      <c r="T91" s="279">
        <f>SUMIF($J$8:$J$71,L91,$T$8:$T$71)</f>
        <v>0</v>
      </c>
      <c r="U91" s="280"/>
    </row>
    <row r="92" spans="6:22" ht="13.75" customHeight="1">
      <c r="F92" s="352"/>
      <c r="G92" s="352"/>
      <c r="H92" s="352"/>
      <c r="I92" s="352"/>
      <c r="J92" s="310"/>
      <c r="K92" s="311"/>
      <c r="L92" s="295" t="s">
        <v>132</v>
      </c>
      <c r="M92" s="297">
        <f>SUM(M87:M91)</f>
        <v>472177</v>
      </c>
      <c r="N92" s="277">
        <f t="shared" ref="N92:T92" si="30">SUM(N87:N91)</f>
        <v>6846.5700000000006</v>
      </c>
      <c r="O92" s="277">
        <f t="shared" si="30"/>
        <v>101045.88000000002</v>
      </c>
      <c r="P92" s="277">
        <f t="shared" si="30"/>
        <v>0</v>
      </c>
      <c r="Q92" s="277">
        <f t="shared" si="30"/>
        <v>1593.0000000000002</v>
      </c>
      <c r="R92" s="286">
        <f t="shared" si="30"/>
        <v>34203.4</v>
      </c>
      <c r="S92" s="277">
        <f>SUM(S87:S91)</f>
        <v>1753.08</v>
      </c>
      <c r="T92" s="277">
        <f t="shared" si="30"/>
        <v>259.20000000000005</v>
      </c>
      <c r="U92" s="281"/>
      <c r="V92" s="441">
        <f>M85+M92</f>
        <v>2692412.19</v>
      </c>
    </row>
    <row r="93" spans="6:22" ht="13.75" customHeight="1" thickBot="1">
      <c r="F93" s="352"/>
      <c r="G93" s="352"/>
      <c r="H93" s="352"/>
      <c r="I93" s="352"/>
      <c r="J93" s="310"/>
      <c r="K93" s="311"/>
      <c r="N93" s="277"/>
      <c r="O93" s="277"/>
      <c r="P93" s="277"/>
      <c r="Q93" s="277"/>
      <c r="R93" s="277"/>
      <c r="S93" s="277"/>
      <c r="T93" s="277"/>
      <c r="U93" s="281"/>
    </row>
    <row r="94" spans="6:22" ht="13.75" customHeight="1">
      <c r="F94" s="352"/>
      <c r="G94" s="352"/>
      <c r="H94" s="352"/>
      <c r="I94" s="352"/>
      <c r="L94" s="356" t="s">
        <v>133</v>
      </c>
      <c r="M94" s="350">
        <f>SUMIF($J$8:$J$71,L94,$M$8:$M$71)</f>
        <v>69325</v>
      </c>
      <c r="N94" s="275">
        <f>SUMIF($J$8:$J$71,L94,$N$8:$N$71)</f>
        <v>0</v>
      </c>
      <c r="O94" s="275">
        <f>SUMIF($J$8:$J$71,L94,$O$8:$O$71)</f>
        <v>0</v>
      </c>
      <c r="P94" s="275">
        <f>SUMIF($J$8:$J$71,L94,$P$8:$P$71)</f>
        <v>0</v>
      </c>
      <c r="Q94" s="275">
        <f>SUMIF($J$8:$J$71,N94,$P$8:$P$71)</f>
        <v>0</v>
      </c>
      <c r="R94" s="275">
        <f>SUMIF($J$8:$J$71,O94,$P$8:$P$71)</f>
        <v>0</v>
      </c>
      <c r="S94" s="275">
        <f>SUMIF($J$8:$J$71,M94,$P$8:$P$71)</f>
        <v>0</v>
      </c>
      <c r="T94" s="275">
        <f>SUMIF($J$8:$J$71,P94,$P$8:$P$71)</f>
        <v>0</v>
      </c>
      <c r="U94" s="281"/>
    </row>
    <row r="95" spans="6:22" ht="13.75" customHeight="1" thickBot="1">
      <c r="F95" s="352"/>
      <c r="G95" s="352"/>
      <c r="H95" s="352"/>
      <c r="I95" s="352"/>
      <c r="L95" s="357" t="s">
        <v>134</v>
      </c>
      <c r="M95" s="317">
        <f>SUMIF($J$8:$J$71,L95,$M$8:$M$71)</f>
        <v>225000</v>
      </c>
      <c r="N95" s="279">
        <f>SUMIF($J$8:$J$71,L95,$N$8:$N$71)</f>
        <v>3262.5</v>
      </c>
      <c r="O95" s="279">
        <f>SUMIF($J$8:$J$71,L95,$O$8:$O$71)</f>
        <v>0</v>
      </c>
      <c r="P95" s="279">
        <f>SUMIF($J$8:$J$71,L95,$P$8:$P$71)</f>
        <v>0</v>
      </c>
      <c r="Q95" s="279">
        <f>SUMIF($J$8:$J$71,N95,$P$8:$P$71)</f>
        <v>0</v>
      </c>
      <c r="R95" s="279">
        <f>SUMIF($J$8:$J$71,O95,$P$8:$P$71)</f>
        <v>0</v>
      </c>
      <c r="S95" s="279">
        <f>SUMIF($J$8:$J$71,M95,$P$8:$P$71)</f>
        <v>0</v>
      </c>
      <c r="T95" s="279">
        <f>SUMIF($J$8:$J$71,P95,$P$8:$P$71)</f>
        <v>0</v>
      </c>
      <c r="U95" s="281"/>
    </row>
    <row r="96" spans="6:22" ht="13.75" customHeight="1">
      <c r="F96" s="352"/>
      <c r="G96" s="352"/>
      <c r="H96" s="352"/>
      <c r="I96" s="352"/>
      <c r="N96" s="277"/>
      <c r="O96" s="277"/>
      <c r="P96" s="277"/>
      <c r="Q96" s="277"/>
      <c r="R96" s="277"/>
      <c r="S96" s="277"/>
      <c r="T96" s="277"/>
      <c r="U96" s="281"/>
    </row>
    <row r="97" spans="1:21" ht="13.75" customHeight="1">
      <c r="F97" s="352"/>
      <c r="G97" s="352"/>
      <c r="H97" s="352"/>
      <c r="I97" s="352"/>
      <c r="L97" s="297" t="s">
        <v>588</v>
      </c>
      <c r="M97" s="358">
        <f>M85+M92</f>
        <v>2692412.19</v>
      </c>
      <c r="N97" s="277">
        <f>N85+N92+N95</f>
        <v>42302.500000000007</v>
      </c>
      <c r="O97" s="277">
        <f>O85+O92</f>
        <v>576176.19000000006</v>
      </c>
      <c r="P97" s="277">
        <f t="shared" ref="P97" si="31">P85+P92</f>
        <v>0</v>
      </c>
      <c r="Q97" s="277">
        <f>Q85+Q92</f>
        <v>9867.4</v>
      </c>
      <c r="R97" s="277">
        <f>R85+R92</f>
        <v>258061.35999999993</v>
      </c>
      <c r="S97" s="277">
        <f>S85+S92+T85+T92</f>
        <v>13295.8</v>
      </c>
      <c r="T97" s="277"/>
      <c r="U97" s="281">
        <f>SUM(M97:T97)</f>
        <v>3592115.4399999995</v>
      </c>
    </row>
    <row r="98" spans="1:21" ht="13.75" customHeight="1">
      <c r="F98" s="352"/>
      <c r="G98" s="352"/>
      <c r="H98" s="352"/>
      <c r="I98" s="352"/>
      <c r="L98" s="295" t="s">
        <v>589</v>
      </c>
      <c r="M98" s="358">
        <f>M95+M85+M92</f>
        <v>2917412.19</v>
      </c>
      <c r="N98" s="277">
        <f>SUM(N8:N71)</f>
        <v>42302.5</v>
      </c>
      <c r="O98" s="277">
        <f>SUM(O8:O71)-O94-O95</f>
        <v>576176.18999999994</v>
      </c>
      <c r="P98" s="277">
        <f>SUM(P8:P71)-P94-P95</f>
        <v>0</v>
      </c>
      <c r="Q98" s="277">
        <f>SUM(Q8:Q71)</f>
        <v>9867.3999999999924</v>
      </c>
      <c r="R98" s="277">
        <f>SUM(R8:R71)-R94-R95</f>
        <v>258061.35999999993</v>
      </c>
      <c r="S98" s="277">
        <f>SUM(S8:S71)+SUM(T8:T71)</f>
        <v>13295.8</v>
      </c>
      <c r="T98" s="277"/>
      <c r="U98" s="281"/>
    </row>
    <row r="99" spans="1:21" s="361" customFormat="1" ht="13.75" customHeight="1">
      <c r="A99" s="359"/>
      <c r="B99" s="359"/>
      <c r="C99" s="359"/>
      <c r="D99" s="359"/>
      <c r="E99" s="359"/>
      <c r="F99" s="360"/>
      <c r="G99" s="360"/>
      <c r="H99" s="360"/>
      <c r="I99" s="360"/>
      <c r="J99" s="295"/>
      <c r="K99" s="296"/>
      <c r="L99" s="301" t="s">
        <v>142</v>
      </c>
      <c r="M99" s="358">
        <f>'FY25 PPSEL Revised'!G62</f>
        <v>2692412.1900000004</v>
      </c>
      <c r="N99" s="277">
        <f>SUM('FY25 PPSEL Revised'!G75:G87)</f>
        <v>40956.325755000013</v>
      </c>
      <c r="O99" s="277">
        <f>SUM('FY25 PPSEL Revised'!G88:G100)</f>
        <v>576176.20866</v>
      </c>
      <c r="P99" s="277"/>
      <c r="Q99" s="277"/>
      <c r="R99" s="277">
        <f>SUM('FY25 PPSEL Revised'!G101:G110)</f>
        <v>258061.35999999993</v>
      </c>
      <c r="S99" s="277">
        <f>SUM('FY25 PPSEL Revised'!G64:G74)</f>
        <v>12251</v>
      </c>
      <c r="T99" s="277"/>
      <c r="U99" s="281"/>
    </row>
    <row r="100" spans="1:21" ht="13.75" customHeight="1" thickBot="1">
      <c r="F100" s="352"/>
      <c r="G100" s="352"/>
      <c r="H100" s="352"/>
      <c r="I100" s="352"/>
      <c r="M100" s="362">
        <f>M98-M99</f>
        <v>224999.99999999953</v>
      </c>
      <c r="N100" s="362">
        <f>N98-N99</f>
        <v>1346.1742449999874</v>
      </c>
      <c r="O100" s="362">
        <f t="shared" ref="O100:S100" si="32">O98-O99</f>
        <v>-1.8660000059753656E-2</v>
      </c>
      <c r="P100" s="362">
        <f t="shared" si="32"/>
        <v>0</v>
      </c>
      <c r="Q100" s="362"/>
      <c r="R100" s="362">
        <f t="shared" si="32"/>
        <v>0</v>
      </c>
      <c r="S100" s="362">
        <f t="shared" si="32"/>
        <v>1044.7999999999993</v>
      </c>
      <c r="T100" s="363"/>
      <c r="U100" s="364"/>
    </row>
    <row r="101" spans="1:21" ht="13.75" customHeight="1">
      <c r="F101" s="352"/>
      <c r="G101" s="352"/>
      <c r="H101" s="352"/>
      <c r="I101" s="352"/>
      <c r="N101" s="352"/>
      <c r="O101" s="352"/>
      <c r="P101" s="352"/>
      <c r="Q101" s="352"/>
      <c r="R101" s="352"/>
      <c r="S101" s="352"/>
      <c r="T101" s="352"/>
      <c r="U101" s="365"/>
    </row>
  </sheetData>
  <mergeCells count="1">
    <mergeCell ref="U40:U45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A4EF-A550-49F4-A7F5-33505E4C3739}">
  <dimension ref="A1:G51"/>
  <sheetViews>
    <sheetView topLeftCell="A12" workbookViewId="0">
      <selection activeCell="D25" sqref="D25"/>
    </sheetView>
  </sheetViews>
  <sheetFormatPr baseColWidth="10" defaultColWidth="8.83203125" defaultRowHeight="15"/>
  <cols>
    <col min="2" max="2" width="67" customWidth="1"/>
    <col min="3" max="3" width="9" customWidth="1"/>
    <col min="4" max="4" width="18.5" customWidth="1"/>
    <col min="6" max="6" width="5" customWidth="1"/>
  </cols>
  <sheetData>
    <row r="1" spans="1:7" ht="16">
      <c r="A1" s="586" t="s">
        <v>154</v>
      </c>
      <c r="B1" s="586"/>
      <c r="C1" s="586"/>
      <c r="D1" s="586"/>
      <c r="E1" s="1"/>
      <c r="F1" s="1"/>
      <c r="G1" s="1"/>
    </row>
    <row r="2" spans="1:7">
      <c r="A2" s="1"/>
      <c r="B2" s="1"/>
      <c r="C2" s="2"/>
      <c r="D2" s="1"/>
      <c r="E2" s="1"/>
      <c r="F2" s="3"/>
      <c r="G2" s="1"/>
    </row>
    <row r="3" spans="1:7">
      <c r="A3" s="4" t="s">
        <v>155</v>
      </c>
      <c r="B3" s="1"/>
      <c r="C3" s="1"/>
      <c r="D3" s="1"/>
      <c r="E3" s="1"/>
      <c r="F3" s="1"/>
      <c r="G3" s="1"/>
    </row>
    <row r="4" spans="1:7">
      <c r="A4" s="4" t="s">
        <v>156</v>
      </c>
      <c r="B4" s="1"/>
      <c r="C4" s="1"/>
      <c r="D4" s="1"/>
      <c r="E4" s="1"/>
      <c r="F4" s="5" t="s">
        <v>157</v>
      </c>
      <c r="G4" s="4" t="s">
        <v>158</v>
      </c>
    </row>
    <row r="5" spans="1:7">
      <c r="A5" s="4" t="s">
        <v>159</v>
      </c>
      <c r="B5" s="1"/>
      <c r="C5" s="1"/>
      <c r="D5" s="1"/>
      <c r="E5" s="1"/>
      <c r="F5" s="1"/>
      <c r="G5" s="4" t="s">
        <v>160</v>
      </c>
    </row>
    <row r="6" spans="1:7">
      <c r="A6" s="6" t="s">
        <v>161</v>
      </c>
      <c r="B6" s="1"/>
      <c r="C6" s="1"/>
      <c r="D6" s="1"/>
      <c r="E6" s="1"/>
      <c r="F6" s="1"/>
      <c r="G6" s="4" t="s">
        <v>162</v>
      </c>
    </row>
    <row r="7" spans="1:7">
      <c r="A7" s="4"/>
      <c r="B7" s="1"/>
      <c r="C7" s="1"/>
      <c r="D7" s="1"/>
      <c r="E7" s="1"/>
      <c r="F7" s="1"/>
      <c r="G7" s="4" t="s">
        <v>163</v>
      </c>
    </row>
    <row r="8" spans="1:7">
      <c r="A8" s="7"/>
      <c r="B8" s="7"/>
      <c r="C8" s="7"/>
      <c r="D8" s="8" t="s">
        <v>164</v>
      </c>
      <c r="E8" s="1"/>
      <c r="F8" s="1"/>
      <c r="G8" s="4" t="s">
        <v>165</v>
      </c>
    </row>
    <row r="9" spans="1:7" ht="16" thickBot="1">
      <c r="A9" s="9" t="s">
        <v>166</v>
      </c>
      <c r="B9" s="10"/>
      <c r="C9" s="10"/>
      <c r="D9" s="9" t="s">
        <v>167</v>
      </c>
      <c r="E9" s="1"/>
      <c r="F9" s="1"/>
      <c r="G9" s="4" t="s">
        <v>168</v>
      </c>
    </row>
    <row r="10" spans="1:7">
      <c r="A10" s="11" t="s">
        <v>169</v>
      </c>
      <c r="B10" s="7"/>
      <c r="C10" s="7">
        <v>1</v>
      </c>
      <c r="D10" s="12">
        <v>0</v>
      </c>
      <c r="E10" s="1"/>
      <c r="F10" s="1"/>
      <c r="G10" s="1"/>
    </row>
    <row r="11" spans="1:7">
      <c r="A11" s="11"/>
      <c r="B11" s="13" t="s">
        <v>170</v>
      </c>
      <c r="C11" s="14" t="s">
        <v>171</v>
      </c>
      <c r="D11" s="12" t="e">
        <f>'Uniform Budget Summary'!D165</f>
        <v>#REF!</v>
      </c>
      <c r="E11" s="1"/>
      <c r="F11" s="1"/>
      <c r="G11" s="1"/>
    </row>
    <row r="12" spans="1:7">
      <c r="A12" s="7"/>
      <c r="B12" s="13" t="s">
        <v>172</v>
      </c>
      <c r="C12" s="14" t="s">
        <v>173</v>
      </c>
      <c r="D12" s="12">
        <v>0</v>
      </c>
      <c r="E12" s="1"/>
      <c r="F12" s="5" t="s">
        <v>174</v>
      </c>
      <c r="G12" s="4" t="s">
        <v>175</v>
      </c>
    </row>
    <row r="13" spans="1:7">
      <c r="A13" s="13"/>
      <c r="B13" s="7" t="s">
        <v>176</v>
      </c>
      <c r="C13" s="14" t="s">
        <v>177</v>
      </c>
      <c r="D13" s="12">
        <v>0</v>
      </c>
      <c r="E13" s="1"/>
      <c r="F13" s="1"/>
      <c r="G13" s="4" t="s">
        <v>178</v>
      </c>
    </row>
    <row r="14" spans="1:7">
      <c r="A14" s="13" t="s">
        <v>179</v>
      </c>
      <c r="B14" s="7"/>
      <c r="C14" s="7"/>
      <c r="D14" s="12"/>
      <c r="E14" s="1"/>
      <c r="F14" s="1"/>
      <c r="G14" s="1"/>
    </row>
    <row r="15" spans="1:7">
      <c r="A15" s="7"/>
      <c r="B15" s="13" t="s">
        <v>180</v>
      </c>
      <c r="C15" s="7">
        <v>2</v>
      </c>
      <c r="D15" s="12">
        <v>0</v>
      </c>
      <c r="E15" s="1"/>
      <c r="F15" s="1"/>
      <c r="G15" s="4" t="s">
        <v>181</v>
      </c>
    </row>
    <row r="16" spans="1:7">
      <c r="A16" s="7"/>
      <c r="B16" s="13" t="s">
        <v>182</v>
      </c>
      <c r="C16" s="7">
        <v>3</v>
      </c>
      <c r="D16" s="12" t="e">
        <f>'Uniform Budget Summary'!H176</f>
        <v>#REF!</v>
      </c>
      <c r="E16" s="1"/>
      <c r="F16" s="1"/>
      <c r="G16" s="4" t="s">
        <v>183</v>
      </c>
    </row>
    <row r="17" spans="1:7">
      <c r="A17" s="7"/>
      <c r="B17" s="13" t="s">
        <v>184</v>
      </c>
      <c r="C17" s="7">
        <v>4</v>
      </c>
      <c r="D17" s="12">
        <v>0</v>
      </c>
      <c r="E17" s="1"/>
      <c r="F17" s="1"/>
      <c r="G17" s="4" t="s">
        <v>185</v>
      </c>
    </row>
    <row r="18" spans="1:7">
      <c r="A18" s="7"/>
      <c r="B18" s="13" t="s">
        <v>186</v>
      </c>
      <c r="C18" s="7">
        <v>5</v>
      </c>
      <c r="D18" s="12">
        <v>0</v>
      </c>
      <c r="E18" s="1"/>
      <c r="F18" s="1"/>
      <c r="G18" s="6"/>
    </row>
    <row r="19" spans="1:7">
      <c r="A19" s="7"/>
      <c r="B19" s="13" t="s">
        <v>187</v>
      </c>
      <c r="C19" s="7">
        <v>7</v>
      </c>
      <c r="D19" s="12">
        <v>0</v>
      </c>
      <c r="E19" s="1"/>
      <c r="F19" s="1"/>
      <c r="G19" s="1"/>
    </row>
    <row r="20" spans="1:7">
      <c r="A20" s="7"/>
      <c r="B20" s="13" t="s">
        <v>188</v>
      </c>
      <c r="C20" s="7">
        <v>8</v>
      </c>
      <c r="D20" s="12">
        <v>0</v>
      </c>
      <c r="E20" s="1"/>
      <c r="F20" s="6"/>
      <c r="G20" s="6"/>
    </row>
    <row r="21" spans="1:7">
      <c r="A21" s="13" t="s">
        <v>189</v>
      </c>
      <c r="B21" s="7"/>
      <c r="C21" s="7"/>
      <c r="D21" s="12"/>
      <c r="E21" s="1"/>
      <c r="F21" s="6"/>
      <c r="G21" s="6"/>
    </row>
    <row r="22" spans="1:7">
      <c r="A22" s="13"/>
      <c r="B22" s="7" t="s">
        <v>189</v>
      </c>
      <c r="C22" s="14" t="s">
        <v>190</v>
      </c>
      <c r="D22" s="12">
        <v>0</v>
      </c>
      <c r="E22" s="1"/>
      <c r="F22" s="1"/>
      <c r="G22" s="1"/>
    </row>
    <row r="23" spans="1:7">
      <c r="A23" s="13"/>
      <c r="B23" s="7" t="s">
        <v>191</v>
      </c>
      <c r="C23" s="14" t="s">
        <v>192</v>
      </c>
      <c r="D23" s="12">
        <v>0</v>
      </c>
      <c r="E23" s="1"/>
      <c r="F23" s="1"/>
      <c r="G23" s="1"/>
    </row>
    <row r="24" spans="1:7">
      <c r="A24" s="13" t="s">
        <v>193</v>
      </c>
      <c r="B24" s="7"/>
      <c r="C24" s="7"/>
      <c r="D24" s="12"/>
      <c r="E24" s="1"/>
      <c r="F24" s="1"/>
      <c r="G24" s="1"/>
    </row>
    <row r="25" spans="1:7">
      <c r="A25" s="7"/>
      <c r="B25" s="13" t="s">
        <v>194</v>
      </c>
      <c r="C25" s="7">
        <v>10</v>
      </c>
      <c r="D25" s="12" t="e">
        <f>'Uniform Budget Summary'!U165</f>
        <v>#REF!</v>
      </c>
      <c r="E25" s="1"/>
      <c r="F25" s="1"/>
      <c r="G25" s="1"/>
    </row>
    <row r="26" spans="1:7">
      <c r="A26" s="7"/>
      <c r="B26" s="13" t="s">
        <v>195</v>
      </c>
      <c r="C26" s="7">
        <v>11</v>
      </c>
      <c r="D26" s="12">
        <v>0</v>
      </c>
      <c r="E26" s="1"/>
      <c r="F26" s="1"/>
      <c r="G26" s="1"/>
    </row>
    <row r="27" spans="1:7">
      <c r="A27" s="7"/>
      <c r="B27" s="13" t="s">
        <v>196</v>
      </c>
      <c r="C27" s="7">
        <v>12</v>
      </c>
      <c r="D27" s="12">
        <v>0</v>
      </c>
      <c r="E27" s="1"/>
      <c r="F27" s="1"/>
      <c r="G27" s="1"/>
    </row>
    <row r="28" spans="1:7">
      <c r="A28" s="7"/>
      <c r="B28" s="13" t="s">
        <v>184</v>
      </c>
      <c r="C28" s="7">
        <v>13</v>
      </c>
      <c r="D28" s="12">
        <v>0</v>
      </c>
      <c r="E28" s="1"/>
      <c r="F28" s="1"/>
      <c r="G28" s="1"/>
    </row>
    <row r="29" spans="1:7">
      <c r="A29" s="13" t="s">
        <v>197</v>
      </c>
      <c r="B29" s="7"/>
      <c r="C29" s="7"/>
      <c r="D29" s="12"/>
      <c r="E29" s="1"/>
      <c r="F29" s="1"/>
      <c r="G29" s="1"/>
    </row>
    <row r="30" spans="1:7">
      <c r="A30" s="7"/>
      <c r="B30" s="13" t="s">
        <v>198</v>
      </c>
      <c r="C30" s="7">
        <v>14</v>
      </c>
      <c r="D30" s="7">
        <v>0</v>
      </c>
      <c r="E30" s="1"/>
      <c r="F30" s="1"/>
      <c r="G30" s="1"/>
    </row>
    <row r="31" spans="1:7">
      <c r="A31" s="13" t="s">
        <v>199</v>
      </c>
      <c r="B31" s="7"/>
      <c r="C31" s="7"/>
      <c r="D31" s="12"/>
      <c r="E31" s="1"/>
      <c r="F31" s="1"/>
      <c r="G31" s="1"/>
    </row>
    <row r="32" spans="1:7">
      <c r="A32" s="7"/>
      <c r="B32" s="13" t="s">
        <v>200</v>
      </c>
      <c r="C32" s="7">
        <v>15</v>
      </c>
      <c r="D32" s="12">
        <v>0</v>
      </c>
      <c r="E32" s="1"/>
      <c r="F32" s="1"/>
      <c r="G32" s="1"/>
    </row>
    <row r="33" spans="1:7">
      <c r="A33" s="7"/>
      <c r="B33" s="13" t="s">
        <v>201</v>
      </c>
      <c r="C33" s="7">
        <v>16</v>
      </c>
      <c r="D33" s="12">
        <v>0</v>
      </c>
      <c r="E33" s="1"/>
      <c r="F33" s="1"/>
      <c r="G33" s="1"/>
    </row>
    <row r="34" spans="1:7">
      <c r="A34" s="13" t="s">
        <v>202</v>
      </c>
      <c r="B34" s="7"/>
      <c r="C34" s="7"/>
      <c r="D34" s="12"/>
      <c r="E34" s="1"/>
      <c r="F34" s="1"/>
      <c r="G34" s="1"/>
    </row>
    <row r="35" spans="1:7">
      <c r="A35" s="7"/>
      <c r="B35" s="13" t="s">
        <v>203</v>
      </c>
      <c r="C35" s="7">
        <v>17</v>
      </c>
      <c r="D35" s="12">
        <v>0</v>
      </c>
      <c r="E35" s="1"/>
      <c r="F35" s="1"/>
      <c r="G35" s="1"/>
    </row>
    <row r="36" spans="1:7">
      <c r="A36" s="7"/>
      <c r="B36" s="13" t="s">
        <v>204</v>
      </c>
      <c r="C36" s="7">
        <v>18</v>
      </c>
      <c r="D36" s="12">
        <v>0</v>
      </c>
      <c r="E36" s="1"/>
      <c r="F36" s="1"/>
      <c r="G36" s="1"/>
    </row>
    <row r="37" spans="1:7">
      <c r="A37" s="7"/>
      <c r="B37" s="13" t="s">
        <v>205</v>
      </c>
      <c r="C37" s="7">
        <v>19</v>
      </c>
      <c r="D37" s="12">
        <v>0</v>
      </c>
      <c r="E37" s="1"/>
      <c r="F37" s="1"/>
      <c r="G37" s="1"/>
    </row>
    <row r="38" spans="1:7">
      <c r="A38" s="13" t="s">
        <v>206</v>
      </c>
      <c r="B38" s="7"/>
      <c r="C38" s="7">
        <v>20</v>
      </c>
      <c r="D38" s="12">
        <v>0</v>
      </c>
      <c r="E38" s="1"/>
      <c r="F38" s="1"/>
      <c r="G38" s="1"/>
    </row>
    <row r="39" spans="1:7">
      <c r="A39" s="7"/>
      <c r="B39" s="7"/>
      <c r="C39" s="7"/>
      <c r="D39" s="7"/>
      <c r="E39" s="1"/>
      <c r="F39" s="1"/>
      <c r="G39" s="1"/>
    </row>
    <row r="40" spans="1:7" ht="16" thickBot="1">
      <c r="A40" s="13" t="s">
        <v>207</v>
      </c>
      <c r="B40" s="7"/>
      <c r="C40" s="7">
        <v>21</v>
      </c>
      <c r="D40" s="15">
        <v>0</v>
      </c>
      <c r="E40" s="1"/>
      <c r="F40" s="1"/>
      <c r="G40" s="1"/>
    </row>
    <row r="41" spans="1:7" ht="16" thickTop="1">
      <c r="A41" s="7"/>
      <c r="B41" s="7"/>
      <c r="C41" s="7"/>
      <c r="D41" s="7"/>
      <c r="E41" s="1"/>
      <c r="F41" s="1"/>
      <c r="G41" s="1"/>
    </row>
    <row r="42" spans="1:7">
      <c r="A42" s="7"/>
      <c r="B42" s="7"/>
      <c r="C42" s="7"/>
      <c r="D42" s="7"/>
      <c r="E42" s="7"/>
      <c r="F42" s="7"/>
      <c r="G42" s="7"/>
    </row>
    <row r="43" spans="1:7">
      <c r="A43" s="16"/>
      <c r="B43" s="16"/>
      <c r="C43" s="16"/>
      <c r="D43" s="16"/>
      <c r="E43" s="7"/>
      <c r="F43" s="7"/>
      <c r="G43" s="7"/>
    </row>
    <row r="44" spans="1:7">
      <c r="A44" s="13" t="s">
        <v>208</v>
      </c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16"/>
      <c r="B46" s="16"/>
      <c r="C46" s="16"/>
      <c r="D46" s="16"/>
      <c r="E46" s="7"/>
      <c r="F46" s="7"/>
      <c r="G46" s="7"/>
    </row>
    <row r="47" spans="1:7">
      <c r="A47" s="13" t="s">
        <v>209</v>
      </c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16"/>
      <c r="B49" s="16"/>
      <c r="C49" s="16"/>
      <c r="D49" s="16"/>
      <c r="E49" s="7"/>
      <c r="F49" s="7"/>
      <c r="G49" s="7"/>
    </row>
    <row r="50" spans="1:7">
      <c r="A50" s="13" t="s">
        <v>210</v>
      </c>
      <c r="B50" s="7"/>
      <c r="C50" s="7"/>
      <c r="D50" s="7"/>
      <c r="E50" s="7"/>
      <c r="F50" s="7"/>
      <c r="G50" s="7"/>
    </row>
    <row r="51" spans="1:7">
      <c r="A51" s="1"/>
      <c r="B51" s="1"/>
      <c r="C51" s="1"/>
      <c r="D51" s="1"/>
      <c r="E51" s="7"/>
      <c r="F51" s="7"/>
      <c r="G51" s="7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FY25 PPSEL Revised</vt:lpstr>
      <vt:lpstr>FY25 PPSEL Revised summary</vt:lpstr>
      <vt:lpstr>Uniform Budget Summary</vt:lpstr>
      <vt:lpstr>FY25 PPSEL Salary &amp; Benefits</vt:lpstr>
      <vt:lpstr>Budget Appropriation Resolution</vt:lpstr>
      <vt:lpstr>'FY25 PPSEL Revised'!Print_Area</vt:lpstr>
      <vt:lpstr>'FY25 PPSEL Revised summary'!Print_Area</vt:lpstr>
      <vt:lpstr>'Uniform Budget Summary'!Print_Area</vt:lpstr>
      <vt:lpstr>'Uniform Budget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Don Knapp</cp:lastModifiedBy>
  <cp:lastPrinted>2024-06-05T18:58:36Z</cp:lastPrinted>
  <dcterms:created xsi:type="dcterms:W3CDTF">2021-03-04T02:04:28Z</dcterms:created>
  <dcterms:modified xsi:type="dcterms:W3CDTF">2024-11-01T15:49:31Z</dcterms:modified>
</cp:coreProperties>
</file>